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1985" windowHeight="7890" activeTab="3"/>
  </bookViews>
  <sheets>
    <sheet name="1" sheetId="1" r:id="rId1"/>
    <sheet name="2A" sheetId="2" r:id="rId2"/>
    <sheet name="2B" sheetId="3" r:id="rId3"/>
    <sheet name="3" sheetId="4" r:id="rId4"/>
    <sheet name="4" sheetId="5" r:id="rId5"/>
    <sheet name="5" sheetId="6" r:id="rId6"/>
    <sheet name="6" sheetId="7" r:id="rId7"/>
    <sheet name="7" sheetId="8" r:id="rId8"/>
    <sheet name=" 8" sheetId="9" r:id="rId9"/>
    <sheet name="9" sheetId="10" r:id="rId10"/>
    <sheet name="10" sheetId="11" r:id="rId11"/>
  </sheets>
  <definedNames>
    <definedName name="_xlnm.Print_Titles" localSheetId="8">' 8'!$6:$11</definedName>
    <definedName name="_xlnm.Print_Titles" localSheetId="0">'1'!$6:$12</definedName>
    <definedName name="_xlnm.Print_Titles" localSheetId="10">'10'!$8:$12</definedName>
    <definedName name="_xlnm.Print_Titles" localSheetId="1">'2A'!$7:$13</definedName>
    <definedName name="_xlnm.Print_Titles" localSheetId="2">'2B'!$6:$12</definedName>
    <definedName name="_xlnm.Print_Titles" localSheetId="3">'3'!$6:$11</definedName>
    <definedName name="_xlnm.Print_Titles" localSheetId="4">'4'!$6:$11</definedName>
    <definedName name="_xlnm.Print_Titles" localSheetId="5">'5'!$6:$9</definedName>
    <definedName name="_xlnm.Print_Titles" localSheetId="6">'6'!$6:$9</definedName>
    <definedName name="_xlnm.Print_Titles" localSheetId="7">'7'!$6:$11</definedName>
    <definedName name="_xlnm.Print_Titles" localSheetId="9">'9'!$6:$8</definedName>
  </definedNames>
  <calcPr fullCalcOnLoad="1"/>
</workbook>
</file>

<file path=xl/sharedStrings.xml><?xml version="1.0" encoding="utf-8"?>
<sst xmlns="http://schemas.openxmlformats.org/spreadsheetml/2006/main" count="1737" uniqueCount="323">
  <si>
    <t xml:space="preserve">Báo cáo viên </t>
  </si>
  <si>
    <t>Tuyên truyền viên</t>
  </si>
  <si>
    <t>HỘ TỊCH</t>
  </si>
  <si>
    <t>Trong nước</t>
  </si>
  <si>
    <t>Có yếu tố nước ngoài</t>
  </si>
  <si>
    <t>CHỨNG THỰC</t>
  </si>
  <si>
    <t>BÁN ĐẤU GIÁ (BĐG) TÀI SẢN</t>
  </si>
  <si>
    <t>BỘ TƯ PHÁP</t>
  </si>
  <si>
    <t>Số văn bản trái pháp luật đã được xử lý</t>
  </si>
  <si>
    <t>Tổng số</t>
  </si>
  <si>
    <t>Lệnh, Quyết định của Chủ tịch nước</t>
  </si>
  <si>
    <t>Nghị định của Chính phủ</t>
  </si>
  <si>
    <t>Thông tư, TTLT</t>
  </si>
  <si>
    <t>Luật, Nghị quyết của Quốc hội</t>
  </si>
  <si>
    <t>PHỔ BIẾN, GIÁO DỤC PHÁP LUẬT</t>
  </si>
  <si>
    <t>Tuyên truyền (TT) miệng pháp luật (PL)</t>
  </si>
  <si>
    <t>Tủ sách PL cấp xã</t>
  </si>
  <si>
    <t>Tủ sách PL ở cơ quan, đơn vị</t>
  </si>
  <si>
    <t>Biểu mẫu số 3</t>
  </si>
  <si>
    <t>Công dân Việt Nam</t>
  </si>
  <si>
    <t>Người nước ngoài</t>
  </si>
  <si>
    <t>Cơ quan Nhà nước, Tổ chức chính trị, tổ chức chính trị xã hội</t>
  </si>
  <si>
    <t>Bình thường</t>
  </si>
  <si>
    <t>Khuyết tật, mắc bệnh hiểm nghèo</t>
  </si>
  <si>
    <t>Sức khoẻ khác</t>
  </si>
  <si>
    <r>
      <t xml:space="preserve">Tổng số thù lao CC, chi phí khác thu được
</t>
    </r>
    <r>
      <rPr>
        <i/>
        <sz val="10"/>
        <rFont val="Times New Roman"/>
        <family val="1"/>
      </rPr>
      <t>(Nghìn đồng)</t>
    </r>
  </si>
  <si>
    <r>
      <t xml:space="preserve">Tổng số tiền nộp vào ngân sách Nhà nước hoặc nộp thuế </t>
    </r>
    <r>
      <rPr>
        <i/>
        <sz val="10"/>
        <rFont val="Times New Roman"/>
        <family val="1"/>
      </rPr>
      <t>(Nghìn đồng)</t>
    </r>
  </si>
  <si>
    <t>Trong đó: Nộp ngân sách</t>
  </si>
  <si>
    <t>Số Giám định viên tư pháp</t>
  </si>
  <si>
    <t>Số người giám định tư pháp theo vụ việc</t>
  </si>
  <si>
    <t>Theo yêu cầu của cơ quan tiến hành tố tụng</t>
  </si>
  <si>
    <t>Theo yêu cầu của cá nhân, tổ chức</t>
  </si>
  <si>
    <t>Số đơn thụ lý</t>
  </si>
  <si>
    <t>Số đơn đã giải quyết</t>
  </si>
  <si>
    <t>Số văn bản quy phạm pháp luật do Bộ, Ngành chủ trì soạn thảo được ban hành</t>
  </si>
  <si>
    <t>Số văn bản quy phạm pháp luật do tổ chức pháp chế Bộ (Ngành) thẩm định</t>
  </si>
  <si>
    <t>Số VB đã tự kiểm tra</t>
  </si>
  <si>
    <t>Số VB phát hiện trái pháp luật</t>
  </si>
  <si>
    <t>Trong đó:  Số VB trái pháp luật về nội dung</t>
  </si>
  <si>
    <t>Số VB đã tiếp nhận để kiểm tra theo thẩm quyền</t>
  </si>
  <si>
    <t>A</t>
  </si>
  <si>
    <t>Số VBQPPL do cơ quan tư pháp thẩm định</t>
  </si>
  <si>
    <t>Số VBQPPL do Phòng Tư pháp thẩm định</t>
  </si>
  <si>
    <t>Số VBQPPL do Sở Tư pháp thẩm định</t>
  </si>
  <si>
    <t>Chia ra</t>
  </si>
  <si>
    <t>Đơn vị tính: Văn bản</t>
  </si>
  <si>
    <r>
      <t xml:space="preserve">Số lượng tài liệu TTPL được phát hành miễn phí </t>
    </r>
    <r>
      <rPr>
        <i/>
        <sz val="10"/>
        <rFont val="Times New Roman"/>
        <family val="1"/>
      </rPr>
      <t>(Bản)</t>
    </r>
  </si>
  <si>
    <r>
      <t xml:space="preserve">Số lượng báo cáo viên, TT viên pháp luật </t>
    </r>
    <r>
      <rPr>
        <i/>
        <sz val="10"/>
        <rFont val="Times New Roman"/>
        <family val="1"/>
      </rPr>
      <t>(Người)</t>
    </r>
  </si>
  <si>
    <r>
      <t xml:space="preserve">Số vụ việc tiếp nhận hòa giải </t>
    </r>
    <r>
      <rPr>
        <i/>
        <sz val="10"/>
        <rFont val="Times New Roman"/>
        <family val="1"/>
      </rPr>
      <t>(Vụ việc)</t>
    </r>
  </si>
  <si>
    <r>
      <t xml:space="preserve">Số vụ việc hòa giải thành </t>
    </r>
    <r>
      <rPr>
        <i/>
        <sz val="10"/>
        <rFont val="Times New Roman"/>
        <family val="1"/>
      </rPr>
      <t>(Vụ việc)</t>
    </r>
  </si>
  <si>
    <r>
      <t>Số cuộc TT</t>
    </r>
    <r>
      <rPr>
        <i/>
        <sz val="10"/>
        <rFont val="Times New Roman"/>
        <family val="1"/>
      </rPr>
      <t xml:space="preserve"> (Cuộc)</t>
    </r>
  </si>
  <si>
    <r>
      <t xml:space="preserve">Số lượt người được TT </t>
    </r>
    <r>
      <rPr>
        <i/>
        <sz val="10"/>
        <rFont val="Times New Roman"/>
        <family val="1"/>
      </rPr>
      <t>(Lượt người)</t>
    </r>
  </si>
  <si>
    <r>
      <t xml:space="preserve">Số lượng tủ sách </t>
    </r>
    <r>
      <rPr>
        <i/>
        <sz val="10"/>
        <rFont val="Times New Roman"/>
        <family val="1"/>
      </rPr>
      <t>(Tủ sách)</t>
    </r>
  </si>
  <si>
    <r>
      <t xml:space="preserve">Số lượt người đọc, mượn </t>
    </r>
    <r>
      <rPr>
        <i/>
        <sz val="10"/>
        <rFont val="Times New Roman"/>
        <family val="1"/>
      </rPr>
      <t>(Lượt người)</t>
    </r>
  </si>
  <si>
    <t>TỔNG SỐ</t>
  </si>
  <si>
    <t>cấp xã</t>
  </si>
  <si>
    <t>cấp huyện</t>
  </si>
  <si>
    <t>cấp tỉnh</t>
  </si>
  <si>
    <t xml:space="preserve">Trong đó: Số VBQPPL do STP được giao chủ trì xây dựng </t>
  </si>
  <si>
    <t>Hình thức tuyên truyền pháp luật (TTPL)</t>
  </si>
  <si>
    <r>
      <t xml:space="preserve">Tổng số lệ phí chứng thực thu được  </t>
    </r>
    <r>
      <rPr>
        <i/>
        <sz val="10"/>
        <rFont val="Times New Roman"/>
        <family val="1"/>
      </rPr>
      <t>(Triệu đồng)</t>
    </r>
  </si>
  <si>
    <r>
      <t xml:space="preserve">Số đăng ký khai sinh </t>
    </r>
    <r>
      <rPr>
        <i/>
        <sz val="10"/>
        <rFont val="Times New Roman"/>
        <family val="1"/>
      </rPr>
      <t xml:space="preserve">(Trường hợp) </t>
    </r>
  </si>
  <si>
    <r>
      <t xml:space="preserve">Số đăng ký khai tử </t>
    </r>
    <r>
      <rPr>
        <i/>
        <sz val="10"/>
        <rFont val="Times New Roman"/>
        <family val="1"/>
      </rPr>
      <t xml:space="preserve">(Trường hợp) </t>
    </r>
  </si>
  <si>
    <t>Số trường hợp ghi chú kết hôn (cặp)</t>
  </si>
  <si>
    <t>Số đăng ký nuôi con nuôi trong nước</t>
  </si>
  <si>
    <t>Số đăng ký nuôi con nuôi có yếu tố nước ngoài</t>
  </si>
  <si>
    <t>Chia theo tình trạng sức khoẻ của trẻ em</t>
  </si>
  <si>
    <r>
      <t xml:space="preserve">CON NUÔI </t>
    </r>
    <r>
      <rPr>
        <i/>
        <sz val="10"/>
        <rFont val="Times New Roman"/>
        <family val="1"/>
      </rPr>
      <t>(Người)</t>
    </r>
  </si>
  <si>
    <t>Số cuộc kết hôn (Cặp)</t>
  </si>
  <si>
    <t>Chia theo đối tượng có LLTP</t>
  </si>
  <si>
    <t>Biểu mẫu số 4</t>
  </si>
  <si>
    <t>Biểu mẫu số 5</t>
  </si>
  <si>
    <r>
      <t xml:space="preserve">Số tổ chức hành nghề công chứng </t>
    </r>
    <r>
      <rPr>
        <i/>
        <sz val="10"/>
        <rFont val="Times New Roman"/>
        <family val="1"/>
      </rPr>
      <t xml:space="preserve">(Tổ chức) </t>
    </r>
  </si>
  <si>
    <r>
      <t xml:space="preserve">Số công chứng viên </t>
    </r>
    <r>
      <rPr>
        <i/>
        <sz val="10"/>
        <rFont val="Times New Roman"/>
        <family val="1"/>
      </rPr>
      <t>(Người)</t>
    </r>
  </si>
  <si>
    <r>
      <t xml:space="preserve">Số lượng việc công chứng  </t>
    </r>
    <r>
      <rPr>
        <i/>
        <sz val="10"/>
        <rFont val="Times New Roman"/>
        <family val="1"/>
      </rPr>
      <t>(Việc)</t>
    </r>
  </si>
  <si>
    <t>Công chứng giao dịch khác</t>
  </si>
  <si>
    <t>Công chứng hợp đồng</t>
  </si>
  <si>
    <r>
      <t>Tổng số phí CC thu được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(Nghìn đồng)</t>
    </r>
  </si>
  <si>
    <t>Trong đó</t>
  </si>
  <si>
    <t>Số việc tham gia tố tụng</t>
  </si>
  <si>
    <t>Số việc tư vấn pháp luật</t>
  </si>
  <si>
    <t>Trong đó: Nộp thuế</t>
  </si>
  <si>
    <t>Biểu mẫu số 6</t>
  </si>
  <si>
    <t>Trong đó: Số hợp đồng BĐG thành</t>
  </si>
  <si>
    <t>Trong đó: Số cuộc BĐG thành</t>
  </si>
  <si>
    <r>
      <t>Số người giám định</t>
    </r>
    <r>
      <rPr>
        <i/>
        <sz val="10"/>
        <rFont val="Times New Roman"/>
        <family val="1"/>
      </rPr>
      <t xml:space="preserve"> (Người)</t>
    </r>
  </si>
  <si>
    <r>
      <t xml:space="preserve">Số vụ việc đã thực hiện giám định </t>
    </r>
    <r>
      <rPr>
        <i/>
        <sz val="10"/>
        <rFont val="Times New Roman"/>
        <family val="1"/>
      </rPr>
      <t>(Vụ việc)</t>
    </r>
  </si>
  <si>
    <t>I. Tại các Bộ, Ngành ở Trung ương</t>
  </si>
  <si>
    <t>Biểu mẫu số 8</t>
  </si>
  <si>
    <t>Biểu mẫu số 7</t>
  </si>
  <si>
    <t xml:space="preserve">Cung cấp thông tin </t>
  </si>
  <si>
    <t>I. Tại các Trung tâm đăng ký giao dịch, tài sản của Cục ĐKQGGDBĐ</t>
  </si>
  <si>
    <t xml:space="preserve">II. Tại Bộ Giao thông vận tải </t>
  </si>
  <si>
    <t>-</t>
  </si>
  <si>
    <t>III. Tại địa bàn tỉnh/thành phố</t>
  </si>
  <si>
    <t>II. Tại địa bàn cả nước</t>
  </si>
  <si>
    <t xml:space="preserve">Tổng số tại các địa phương </t>
  </si>
  <si>
    <t>Tổng số tại địa bàn cả nước</t>
  </si>
  <si>
    <t>II. Tại các địa phương</t>
  </si>
  <si>
    <t xml:space="preserve">VBQPPL trái pháp luật </t>
  </si>
  <si>
    <t xml:space="preserve">VB không phải là VBQPPL nhưng có chứa QPPL </t>
  </si>
  <si>
    <t xml:space="preserve">Số văn bản quy phạm pháp luật (VBQPPL) của HĐND và UBND các cấp được ban hành </t>
  </si>
  <si>
    <t xml:space="preserve">Số bản sao đã chứng thực (Bản sao) </t>
  </si>
  <si>
    <r>
      <t xml:space="preserve">Số chữ ký đã chứng thực </t>
    </r>
    <r>
      <rPr>
        <i/>
        <sz val="10"/>
        <rFont val="Times New Roman"/>
        <family val="1"/>
      </rPr>
      <t xml:space="preserve">(Chữ ký) </t>
    </r>
  </si>
  <si>
    <t xml:space="preserve">Trong đó: Nữ là công dân Việt Nam </t>
  </si>
  <si>
    <t>Chia theo đối tượng yêu cầu cấp</t>
  </si>
  <si>
    <t>Chia theo nội dung xác nhận</t>
  </si>
  <si>
    <t>Tổng số có án tích</t>
  </si>
  <si>
    <t>Tổng số không có án tích</t>
  </si>
  <si>
    <t>Cơ quan tiến hành tố tụng</t>
  </si>
  <si>
    <t>Tổng số đã bị kết án</t>
  </si>
  <si>
    <t>Tổng số không bị kết án</t>
  </si>
  <si>
    <r>
      <t xml:space="preserve">Số người có LLTP </t>
    </r>
    <r>
      <rPr>
        <i/>
        <sz val="10"/>
        <rFont val="Arial"/>
        <family val="2"/>
      </rPr>
      <t>(Người)</t>
    </r>
  </si>
  <si>
    <r>
      <t xml:space="preserve">Số Phiếu LLTP số 1 đã cấp </t>
    </r>
    <r>
      <rPr>
        <i/>
        <sz val="11"/>
        <rFont val="Times New Roman"/>
        <family val="1"/>
      </rPr>
      <t>(Phiếu)</t>
    </r>
  </si>
  <si>
    <r>
      <t xml:space="preserve">Số Phiếu LLTP số 2 đã cấp </t>
    </r>
    <r>
      <rPr>
        <i/>
        <sz val="11"/>
        <rFont val="Times New Roman"/>
        <family val="1"/>
      </rPr>
      <t>(Phiếu)</t>
    </r>
  </si>
  <si>
    <t>Biểu mẫu số 9</t>
  </si>
  <si>
    <t>Số việc yêu cầu bồi thường (Vụ việc)</t>
  </si>
  <si>
    <t>Số tiền phải bồi thường cho người bị thiệt hại (Nghìn đồng)</t>
  </si>
  <si>
    <t>Chia theo loại quyết định hành chính, hành vi hành chính</t>
  </si>
  <si>
    <t>Cá nhân</t>
  </si>
  <si>
    <t>Tổ chức</t>
  </si>
  <si>
    <t>Giấy chứng nhận đăng ký kinh doanh, Giấy chứng nhận đầu tư, Giấy phép và các giấy tờ có giá trị như giấy phép</t>
  </si>
  <si>
    <t>Đất đai</t>
  </si>
  <si>
    <t>Khác</t>
  </si>
  <si>
    <t>Chia theo đối tượng</t>
  </si>
  <si>
    <t>Tổng số thụ lý</t>
  </si>
  <si>
    <t>Trong đó: Đã giải quyết xong</t>
  </si>
  <si>
    <t>Cục Hàng không VN</t>
  </si>
  <si>
    <t>Cục hàng hải VN</t>
  </si>
  <si>
    <t>Quyết định của Thủ tướng Chính phủ</t>
  </si>
  <si>
    <t>HOÀ GIẢI  Ở CƠ SỞ</t>
  </si>
  <si>
    <t>Số tổ hòa giải
(Tổ)</t>
  </si>
  <si>
    <t>Số Tổ viên Tổ hòa giải (Người)</t>
  </si>
  <si>
    <t>Phòng công chứng</t>
  </si>
  <si>
    <t>Văn phòng công chứng</t>
  </si>
  <si>
    <t>Biểu mẫu số 10</t>
  </si>
  <si>
    <t>Số VBQPPL kiến nghị sau rà soát</t>
  </si>
  <si>
    <t>Còn hiệu lực</t>
  </si>
  <si>
    <t>Hết hiệu lực</t>
  </si>
  <si>
    <t>Kiến nghị sửa đổi, bổ sung, thay thế, bãi bỏ</t>
  </si>
  <si>
    <t>Kiến nghị ban hành mới</t>
  </si>
  <si>
    <t>Số văn bản quy phạm pháp luật (VBQPPL) đã được rà soát</t>
  </si>
  <si>
    <t>LUẬT SƯ</t>
  </si>
  <si>
    <t>Biểu mẫu số 1</t>
  </si>
  <si>
    <t xml:space="preserve">TỔNG HỢP SỐ LIỆU THỐNG KÊ VỀ HOẠT ĐỘNG XÂY DỰNG, THẨM ĐỊNH VĂN BẢN QUY PHẠM PHÁP LUẬT </t>
  </si>
  <si>
    <t xml:space="preserve">TỔNG HỢP SỐ LIỆU THỐNG KÊ VỀ HOẠT ĐỘNG PHỔ BIẾN, GIÁO DỤC PHÁP LUẬT VÀ HÒA GIẢI Ở CƠ SỞ </t>
  </si>
  <si>
    <t>TỔNG HỢP SỐ LIỆU THỐNG KÊ VỀ HOẠT ĐỘNG CHỨNG THỰC, HỘ TỊCH, QUỐC TỊCH</t>
  </si>
  <si>
    <t>TỔNG HỢP SỐ LIỆU THỐNG KÊ VỀ CÔNG TÁC LÝ LỊCH TƯ PHÁP</t>
  </si>
  <si>
    <t>TỔNG HỢP SỐ LIỆU THỐNG KÊ VỀ HOẠT ĐỘNG CÔNG CHỨNG</t>
  </si>
  <si>
    <t>TỔNG HỢP SỐ LIỆU THỐNG KÊ VỀ HOẠT ĐỘNG CỦA LUẬT SƯ VÀ HOẠT ĐỘNG BÁN ĐẤU GIÁ TÀI SẢN</t>
  </si>
  <si>
    <t xml:space="preserve">TỔNG HỢP SỐ LIỆU THỐNG KÊ VỀ HOẠT ĐỘNG ĐĂNG KÝ, CUNG CẤP THÔNG TIN VỀ GIAO DỊCH BẢO ĐẢM </t>
  </si>
  <si>
    <t>TỔNG HỢP SỐ LIỆU THỐNG KÊ VỀ HOẠT ĐỘNG GIẢI QUYẾT YÊU CẦU BỒI THƯỜNG NHÀ NƯỚC</t>
  </si>
  <si>
    <t xml:space="preserve">TỔNG HỢP SỐ LIỆU THỐNG KÊ VỀ HOẠT ĐỘNG GIÁM ĐỊNH TƯ PHÁP </t>
  </si>
  <si>
    <t xml:space="preserve">Số văn bản (VB) đã tự kiểm tra, xử lý </t>
  </si>
  <si>
    <t xml:space="preserve">Số văn bản (VB) đã được kiểm tra, xử lý theo thẩm quyền </t>
  </si>
  <si>
    <t>VB QPPL</t>
  </si>
  <si>
    <t>VB không phải là VB</t>
  </si>
  <si>
    <t xml:space="preserve">TỔNG HỢP SỐ LIỆU THỐNG KÊ VỀ HOẠT ĐỘNG RÀ SOÁT VĂN BẢN QUY PHẠM PHÁP LUẬT </t>
  </si>
  <si>
    <t xml:space="preserve">TỔNG HỢP SỐ LIỆU THỐNG KÊ VỀ HOẠT ĐỘNG KIỂM TRA VĂN BẢN QUY PHẠM PHÁP LUẬT </t>
  </si>
  <si>
    <t>Biểu mẫu số 2A</t>
  </si>
  <si>
    <t>Biểu mẫu số 2B</t>
  </si>
  <si>
    <t>Tỷ lệ % hòa giải thành/ tổng số việc hòa giải</t>
  </si>
  <si>
    <t xml:space="preserve">QUỐC TỊCH </t>
  </si>
  <si>
    <t>Nước ngoài</t>
  </si>
  <si>
    <t>Pháp y</t>
  </si>
  <si>
    <t>Pháp y tâm thần</t>
  </si>
  <si>
    <t>Kỹ thuật hình sự</t>
  </si>
  <si>
    <t>Đăng ký giao dịch bảo đảm bằng tàu bay hoặc tàu biển</t>
  </si>
  <si>
    <t>Đăng ký giao dịch bảo đảm bằng quyền sử dụng đất, tài sản gắn liền với đất</t>
  </si>
  <si>
    <r>
      <t>6 tháng năm 2012</t>
    </r>
    <r>
      <rPr>
        <i/>
        <sz val="14"/>
        <color indexed="8"/>
        <rFont val="Times New Roman"/>
        <family val="1"/>
      </rPr>
      <t xml:space="preserve"> (từ 01/10/2011 đến 31/3/2012)</t>
    </r>
  </si>
  <si>
    <r>
      <t xml:space="preserve">6 tháng năm 2012 </t>
    </r>
    <r>
      <rPr>
        <i/>
        <sz val="14"/>
        <color indexed="8"/>
        <rFont val="Times New Roman"/>
        <family val="1"/>
      </rPr>
      <t>(từ 01/10/2011 đến 31/3/2012)</t>
    </r>
  </si>
  <si>
    <r>
      <t xml:space="preserve">6 tháng năm 2012 </t>
    </r>
    <r>
      <rPr>
        <i/>
        <sz val="14"/>
        <rFont val="Times New Roman"/>
        <family val="1"/>
      </rPr>
      <t xml:space="preserve">(từ 01/10/2011 đến 31/3/2012)    </t>
    </r>
  </si>
  <si>
    <r>
      <t>6 tháng năm 2012</t>
    </r>
    <r>
      <rPr>
        <i/>
        <sz val="14"/>
        <rFont val="Times New Roman"/>
        <family val="1"/>
      </rPr>
      <t xml:space="preserve"> (từ 01/10/2011 đến 31/3/2012)    </t>
    </r>
  </si>
  <si>
    <r>
      <t xml:space="preserve">6 tháng năm 2012 </t>
    </r>
    <r>
      <rPr>
        <i/>
        <sz val="14"/>
        <rFont val="Times New Roman"/>
        <family val="1"/>
      </rPr>
      <t xml:space="preserve">(từ 01/10/2011 đến 31/3/2012)     </t>
    </r>
  </si>
  <si>
    <r>
      <t xml:space="preserve">6 tháng năm 2012 </t>
    </r>
    <r>
      <rPr>
        <i/>
        <sz val="14"/>
        <rFont val="Times New Roman"/>
        <family val="1"/>
      </rPr>
      <t xml:space="preserve">(từ 01/10/2011 đến 31/3/2012)        </t>
    </r>
  </si>
  <si>
    <t>An Giang</t>
  </si>
  <si>
    <t>Bắc Giang</t>
  </si>
  <si>
    <t>Bắc Kạn</t>
  </si>
  <si>
    <t>Bạc Liêu</t>
  </si>
  <si>
    <t>Bắc Ninh</t>
  </si>
  <si>
    <t>Bến Tre</t>
  </si>
  <si>
    <t>Bình Định</t>
  </si>
  <si>
    <t>Bình Dương</t>
  </si>
  <si>
    <t>Bình Phước</t>
  </si>
  <si>
    <t>Bình Thuận</t>
  </si>
  <si>
    <t>Cà Mau</t>
  </si>
  <si>
    <t>Cần Thơ</t>
  </si>
  <si>
    <t>Cao Bằng</t>
  </si>
  <si>
    <t>Đà Nẵng</t>
  </si>
  <si>
    <t>Đắk Lắk</t>
  </si>
  <si>
    <t>Đắk Nông</t>
  </si>
  <si>
    <t>Điện Biên</t>
  </si>
  <si>
    <t>Bộ Tài chính</t>
  </si>
  <si>
    <t>Bộ Tài nguyên và Môi trường</t>
  </si>
  <si>
    <t>Bộ Thông tin và Truyền thông</t>
  </si>
  <si>
    <t xml:space="preserve">Bộ Văn hóa, Thể thao và Du lịch </t>
  </si>
  <si>
    <t xml:space="preserve">Bộ Xây dựng </t>
  </si>
  <si>
    <t xml:space="preserve">Ngân hàng Nhà nước Việt Nam </t>
  </si>
  <si>
    <t>Thanh tra Chính phủ</t>
  </si>
  <si>
    <t>Ủy ban Dân tộc</t>
  </si>
  <si>
    <t>21669</t>
  </si>
  <si>
    <t>4539</t>
  </si>
  <si>
    <t xml:space="preserve">Bộ Công thương </t>
  </si>
  <si>
    <t>Bộ Giáo dục và Đào tạo</t>
  </si>
  <si>
    <t>Bộ Giao thông Vận tải</t>
  </si>
  <si>
    <t>Bộ Kế hoạch và Đầu tư</t>
  </si>
  <si>
    <t>Bộ Khoa học và Công nghệ</t>
  </si>
  <si>
    <t>Bộ Lao động, Thương binh và Xã hội</t>
  </si>
  <si>
    <t xml:space="preserve">Bộ Ngoại giao </t>
  </si>
  <si>
    <t xml:space="preserve">Bộ Nội vụ </t>
  </si>
  <si>
    <t>Bộ Nông nghiệp và Phát triển Nông thôn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</si>
  <si>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</si>
  <si>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</si>
  <si>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</si>
  <si>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</si>
  <si>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</si>
  <si>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</si>
  <si>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</si>
  <si>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</si>
  <si>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Hải Phòng</t>
  </si>
  <si>
    <t>Hậu Giang</t>
  </si>
  <si>
    <t>Hoà Bình</t>
  </si>
  <si>
    <t>Hưng Yên</t>
  </si>
  <si>
    <t>Khánh Hoà</t>
  </si>
  <si>
    <t>Kiên Giang</t>
  </si>
  <si>
    <t>Kon Tum</t>
  </si>
  <si>
    <t>Lai Châu</t>
  </si>
  <si>
    <t>Lâm Đồng</t>
  </si>
  <si>
    <t>0</t>
  </si>
  <si>
    <t>Lạng Sơn</t>
  </si>
  <si>
    <t>Lào Cai</t>
  </si>
  <si>
    <t>Long An</t>
  </si>
  <si>
    <t>Nam Định</t>
  </si>
  <si>
    <t>Nghệ An</t>
  </si>
  <si>
    <t xml:space="preserve">Ninh Bình </t>
  </si>
  <si>
    <t>Ninh Thuận</t>
  </si>
  <si>
    <t>Phú Thọ</t>
  </si>
  <si>
    <t>Phú Yên</t>
  </si>
  <si>
    <t>Bộ Y tế</t>
  </si>
  <si>
    <t>Bộ Công An</t>
  </si>
  <si>
    <t>Bộ Quốc phòng</t>
  </si>
  <si>
    <t>Bộ Quốc Phòng</t>
  </si>
  <si>
    <t>Viện Pháp y Quân đội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</si>
  <si>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</si>
  <si>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</si>
  <si>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</si>
  <si>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</si>
  <si>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</si>
  <si>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</si>
  <si>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</si>
  <si>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</si>
  <si>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</si>
  <si>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</si>
  <si>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Hoá</t>
  </si>
  <si>
    <t>Thừa Thiên Huế</t>
  </si>
  <si>
    <t>Tiền Giang</t>
  </si>
  <si>
    <t>TP.Hồ Chí Minh</t>
  </si>
  <si>
    <t>Trà Vinh</t>
  </si>
  <si>
    <t>Tuyên Quang</t>
  </si>
  <si>
    <t>Vĩnh Long</t>
  </si>
  <si>
    <t>Vĩnh Phúc</t>
  </si>
  <si>
    <t>Yên Bái</t>
  </si>
  <si>
    <t>Pháp lệnh, Nghị quyết của UB TVQH</t>
  </si>
  <si>
    <t>Bà Rịa - V. Tàu</t>
  </si>
  <si>
    <t>Ghi chú:</t>
  </si>
  <si>
    <t>Tp Hồ Chí Minh:  số liệu về tình hình hoạt động trong lĩnh vực Luật sư theo báo cáo của 546 tổ chức hành nghề luật sư và 5 luật sư hành nghề với tư cách cá nhân</t>
  </si>
  <si>
    <t>Huế: Số tiền thu được và nộp NS trong BĐG chỉ có số liệu cùa Trung tâm DVBĐGTS</t>
  </si>
  <si>
    <t xml:space="preserve">Tp Hồ Chí Minh:  số liệu của 17/25 đơn vị gửi báo cáo </t>
  </si>
  <si>
    <t>Trung tâm ĐKGDTS tại HN</t>
  </si>
  <si>
    <t>Trung tâm ĐKGDTS tại TP.HCM</t>
  </si>
  <si>
    <t>Trung tâm ĐKGDTS tại Đà Nẵng</t>
  </si>
  <si>
    <t>Số liệu kết hôn trong nước của Gia Lai theo báo cáo của 09/17 đơn vị cấp huyện.</t>
  </si>
  <si>
    <t>Đồng Tháp: số tổ hòa giải theo báo cáo của 5/12 đơn vị cấp huyện</t>
  </si>
  <si>
    <t>Cột 10: Số tổ chức bán đấu giá  bao gồm</t>
  </si>
  <si>
    <t>Tp Hà Nội không có số liệu về đấu giá viên và số liệu báo cáo của Trung tâm dịch vụ bán đấu giá tài sản</t>
  </si>
  <si>
    <t>.</t>
  </si>
  <si>
    <t>Cột 8: Số tổ chức được cấp phép hành nghề tại Việt Nam bao gồm</t>
  </si>
  <si>
    <t xml:space="preserve"> Hà Nội: 04 công ty luật và 15 chi nhánh</t>
  </si>
  <si>
    <t>Tp Hồ Chí Minh: 31 công ty luật và 16 chi nhánh</t>
  </si>
  <si>
    <t>233 Tổ chức bán đấu giá chuyên nghiệp (Trung tâm dịch vụ bán đấu giá và doanh nghiệp bán đấu giá)</t>
  </si>
  <si>
    <t xml:space="preserve">215 Hội đồng  bán đấu giá tài sản cấp huyện </t>
  </si>
  <si>
    <t>01 Hội đồng bán đấu giá tài sản trong trường hợp đặc biệt (Đắk Lắk)</t>
  </si>
  <si>
    <t>Tp Hồ Chí Minh:  số liệu về tình hình hoạt động trong lĩnh vực BGĐ theo báo cáo của 25/37 tổ chức BĐGTS chuyên nghệp và 17/24 Hội đồng BĐGTS quận huyện</t>
  </si>
  <si>
    <t>Tp Hồ Chí Minh:  số liệu về nộp ngân sách trong lĩnh vực BGĐ theo báo cáo của 17/24 Hội đồng BĐGTS quận huyện</t>
  </si>
  <si>
    <t>Thanh Hóa: thiếu số liệu của 05 đơn vị cấp huyện</t>
  </si>
  <si>
    <t>Kiên Giang: Thiếu số liệu của 03 đơn vị cấp huyện.</t>
  </si>
  <si>
    <t>(Số liệu cập nhật đến 17h00 ngày 07/5/2012)</t>
  </si>
  <si>
    <t>Số liệu bằng 0</t>
  </si>
  <si>
    <t>Ô để trống</t>
  </si>
  <si>
    <t>Ô có dấu "-"</t>
  </si>
  <si>
    <t>x</t>
  </si>
  <si>
    <t xml:space="preserve">Ô để trống </t>
  </si>
  <si>
    <t>*</t>
  </si>
  <si>
    <t>Ô có dấu "x"</t>
  </si>
  <si>
    <t xml:space="preserve">Đơn vị chưa gửi báo cáo thống kê </t>
  </si>
  <si>
    <t>Ô có dâu "*"</t>
  </si>
  <si>
    <t>Đơn vị đã gửi báo cáo thống kê nhưng trong báo cáo để trống ô số liệu</t>
  </si>
  <si>
    <t>không tổng hợp được</t>
  </si>
  <si>
    <t>Đơn vị đã gửi báo cáo thống kê nhưng trong báo cáo để trống ô số liệu hoặc không rõ số liệu</t>
  </si>
  <si>
    <t>số liệu  có điểm bất hợp lý nên không tổng hợp vào bảng tổng hợp số liệu chung 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</si>
  <si>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</si>
  <si>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Ủy ban dân tộc</t>
  </si>
  <si>
    <t>I. Tại các cơ quan ở Trung ương</t>
  </si>
  <si>
    <t>Viện Pháp y Quốc gia  - Bộ Y tế</t>
  </si>
  <si>
    <t>Viện GĐ pháp y Tâm thần TW  - Bộ Y tế</t>
  </si>
  <si>
    <t>Phòng giám định Kĩ thuật hình sự- Bộ Quốc phòng</t>
  </si>
  <si>
    <t>Viện khoa học hình sự - Bộ công an</t>
  </si>
  <si>
    <t>Bộ Công an</t>
  </si>
  <si>
    <r>
      <t xml:space="preserve">Số người đăng ký giữ quốc tịch Việt Nam  </t>
    </r>
    <r>
      <rPr>
        <sz val="8"/>
        <rFont val="Times New Roman"/>
        <family val="1"/>
      </rPr>
      <t>(Người)</t>
    </r>
  </si>
  <si>
    <r>
      <t xml:space="preserve">Số người thông báo có quốc tịch nước ngoài </t>
    </r>
    <r>
      <rPr>
        <sz val="7"/>
        <rFont val="Times New Roman"/>
        <family val="1"/>
      </rPr>
      <t>(Người)</t>
    </r>
  </si>
  <si>
    <r>
      <t xml:space="preserve">Số tổ chức hành nghề LS  tại địa phương </t>
    </r>
    <r>
      <rPr>
        <i/>
        <sz val="9"/>
        <rFont val="Times New Roman"/>
        <family val="1"/>
      </rPr>
      <t>(Tổ chức)</t>
    </r>
  </si>
  <si>
    <r>
      <t xml:space="preserve">Số LS hành nghề tại địa phương </t>
    </r>
    <r>
      <rPr>
        <i/>
        <sz val="9"/>
        <rFont val="Times New Roman"/>
        <family val="1"/>
      </rPr>
      <t>(Người)</t>
    </r>
  </si>
  <si>
    <r>
      <t>Số việc thực hiện</t>
    </r>
    <r>
      <rPr>
        <i/>
        <sz val="9"/>
        <rFont val="Times New Roman"/>
        <family val="1"/>
      </rPr>
      <t xml:space="preserve"> (Việc)</t>
    </r>
  </si>
  <si>
    <r>
      <t xml:space="preserve">Doanh thu </t>
    </r>
    <r>
      <rPr>
        <i/>
        <sz val="9"/>
        <rFont val="Times New Roman"/>
        <family val="1"/>
      </rPr>
      <t>(Nghìn đồng)</t>
    </r>
  </si>
  <si>
    <r>
      <t xml:space="preserve">Số tổ chức được cấp phép hành nghề tại Việt Nam </t>
    </r>
    <r>
      <rPr>
        <i/>
        <sz val="9"/>
        <rFont val="Times New Roman"/>
        <family val="1"/>
      </rPr>
      <t>(Tổ chức)</t>
    </r>
  </si>
  <si>
    <r>
      <t xml:space="preserve">Số LS được cấp phép hành nghề tại Việt Nam </t>
    </r>
    <r>
      <rPr>
        <i/>
        <sz val="9"/>
        <rFont val="Times New Roman"/>
        <family val="1"/>
      </rPr>
      <t>(Người)</t>
    </r>
  </si>
  <si>
    <r>
      <t xml:space="preserve">Số tổ chức BĐG tài sản </t>
    </r>
    <r>
      <rPr>
        <i/>
        <sz val="9"/>
        <rFont val="Times New Roman"/>
        <family val="1"/>
      </rPr>
      <t>(Tổ chức</t>
    </r>
  </si>
  <si>
    <r>
      <t xml:space="preserve">Số hợp đồng đã ký </t>
    </r>
    <r>
      <rPr>
        <i/>
        <sz val="9"/>
        <rFont val="Times New Roman"/>
        <family val="1"/>
      </rPr>
      <t>(Hợp đồng)</t>
    </r>
  </si>
  <si>
    <r>
      <t>Số cuộc bán đấu giá đã thực hiện</t>
    </r>
    <r>
      <rPr>
        <b/>
        <i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(Cuộc)</t>
    </r>
  </si>
  <si>
    <r>
      <t xml:space="preserve">Số tiền thu được </t>
    </r>
    <r>
      <rPr>
        <i/>
        <sz val="9"/>
        <rFont val="Times New Roman"/>
        <family val="1"/>
      </rPr>
      <t>(Nghìn đồng)</t>
    </r>
  </si>
  <si>
    <r>
      <t xml:space="preserve">Số lượng Đấu giá viên </t>
    </r>
    <r>
      <rPr>
        <i/>
        <sz val="7"/>
        <rFont val="Times New Roman"/>
        <family val="1"/>
      </rPr>
      <t>(Người)</t>
    </r>
  </si>
  <si>
    <r>
      <t>Đăng ký giao dịch bảo đảm, hợp đồng, thông báo kê biên tài sản là động sản</t>
    </r>
    <r>
      <rPr>
        <sz val="10"/>
        <rFont val="Times New Roman"/>
        <family val="1"/>
      </rPr>
      <t xml:space="preserve"> (trừ tàu bay, tàu biển)</t>
    </r>
  </si>
  <si>
    <t>Bổ sung số liệu sau sơ kết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</si>
</sst>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;[Red]0"/>
    <numFmt numFmtId="173" formatCode="_(* #,##0_);_(* \(#,##0\);_(* &quot;-&quot;??_);_(@_)"/>
    <numFmt numFmtId="174" formatCode="#,##0.0_);\(#,##0.0\)"/>
    <numFmt numFmtId="175" formatCode="0.0000"/>
    <numFmt numFmtId="176" formatCode="0.00000"/>
    <numFmt numFmtId="177" formatCode="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\-00\-0000"/>
    <numFmt numFmtId="183" formatCode="_(* #,##0.0_);_(* \(#,##0.0\);_(* &quot;-&quot;??_);_(@_)"/>
  </numFmts>
  <fonts count="95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61"/>
      <name val="Arial"/>
      <family val="2"/>
    </font>
    <font>
      <b/>
      <i/>
      <sz val="8"/>
      <color indexed="8"/>
      <name val="Arial"/>
      <family val="2"/>
    </font>
    <font>
      <b/>
      <sz val="13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color indexed="8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i/>
      <sz val="11"/>
      <name val="Times New Roman"/>
      <family val="1"/>
    </font>
    <font>
      <sz val="9"/>
      <name val="Times New Roman"/>
      <family val="1"/>
    </font>
    <font>
      <sz val="13"/>
      <name val="Arial"/>
      <family val="0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sz val="8"/>
      <color indexed="10"/>
      <name val="Arial"/>
      <family val="2"/>
    </font>
    <font>
      <sz val="10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61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7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8" fillId="29" borderId="1" applyNumberFormat="0" applyAlignment="0" applyProtection="0"/>
    <xf numFmtId="0" fontId="89" fillId="0" borderId="6" applyNumberFormat="0" applyFill="0" applyAlignment="0" applyProtection="0"/>
    <xf numFmtId="0" fontId="9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91" fillId="26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57" applyFont="1" applyFill="1">
      <alignment/>
      <protection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1" fontId="9" fillId="0" borderId="0" xfId="0" applyNumberFormat="1" applyFont="1" applyFill="1" applyBorder="1" applyAlignment="1">
      <alignment horizontal="center" vertical="center"/>
    </xf>
    <xf numFmtId="0" fontId="10" fillId="0" borderId="0" xfId="57" applyFont="1" applyFill="1" applyAlignment="1">
      <alignment horizontal="center" vertical="center"/>
      <protection/>
    </xf>
    <xf numFmtId="0" fontId="14" fillId="0" borderId="0" xfId="57" applyFont="1" applyFill="1">
      <alignment/>
      <protection/>
    </xf>
    <xf numFmtId="172" fontId="0" fillId="0" borderId="0" xfId="57" applyNumberFormat="1" applyFont="1" applyFill="1">
      <alignment/>
      <protection/>
    </xf>
    <xf numFmtId="0" fontId="3" fillId="0" borderId="0" xfId="0" applyFont="1" applyAlignment="1">
      <alignment horizontal="center"/>
    </xf>
    <xf numFmtId="17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2" fontId="27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3" fillId="0" borderId="0" xfId="57" applyFont="1" applyFill="1">
      <alignment/>
      <protection/>
    </xf>
    <xf numFmtId="172" fontId="33" fillId="0" borderId="0" xfId="57" applyNumberFormat="1" applyFont="1" applyFill="1">
      <alignment/>
      <protection/>
    </xf>
    <xf numFmtId="49" fontId="7" fillId="0" borderId="0" xfId="57" applyNumberFormat="1" applyFont="1" applyFill="1" applyAlignment="1">
      <alignment/>
      <protection/>
    </xf>
    <xf numFmtId="0" fontId="21" fillId="0" borderId="0" xfId="57" applyFont="1" applyFill="1" applyAlignment="1">
      <alignment horizontal="left" vertical="top"/>
      <protection/>
    </xf>
    <xf numFmtId="0" fontId="20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horizontal="center" vertical="center"/>
      <protection/>
    </xf>
    <xf numFmtId="0" fontId="16" fillId="0" borderId="0" xfId="0" applyFont="1" applyFill="1" applyAlignment="1">
      <alignment/>
    </xf>
    <xf numFmtId="0" fontId="20" fillId="0" borderId="0" xfId="57" applyFont="1" applyFill="1" applyAlignment="1">
      <alignment/>
      <protection/>
    </xf>
    <xf numFmtId="0" fontId="30" fillId="0" borderId="0" xfId="0" applyFont="1" applyAlignment="1">
      <alignment/>
    </xf>
    <xf numFmtId="0" fontId="22" fillId="0" borderId="0" xfId="57" applyFont="1" applyFill="1" applyAlignment="1">
      <alignment vertical="center"/>
      <protection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20" fillId="0" borderId="0" xfId="57" applyFont="1" applyFill="1" applyAlignment="1">
      <alignment wrapText="1"/>
      <protection/>
    </xf>
    <xf numFmtId="0" fontId="30" fillId="0" borderId="0" xfId="0" applyFont="1" applyBorder="1" applyAlignment="1">
      <alignment vertical="center" wrapText="1"/>
    </xf>
    <xf numFmtId="0" fontId="1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4" fillId="0" borderId="0" xfId="0" applyFont="1" applyFill="1" applyAlignment="1">
      <alignment horizontal="left" vertical="top"/>
    </xf>
    <xf numFmtId="0" fontId="20" fillId="0" borderId="0" xfId="57" applyFont="1" applyFill="1" applyAlignment="1">
      <alignment horizontal="center" vertical="center"/>
      <protection/>
    </xf>
    <xf numFmtId="49" fontId="16" fillId="0" borderId="10" xfId="57" applyNumberFormat="1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9" fillId="0" borderId="0" xfId="0" applyFont="1" applyFill="1" applyAlignment="1">
      <alignment/>
    </xf>
    <xf numFmtId="49" fontId="16" fillId="0" borderId="0" xfId="57" applyNumberFormat="1" applyFont="1" applyFill="1" applyAlignment="1">
      <alignment/>
      <protection/>
    </xf>
    <xf numFmtId="177" fontId="16" fillId="0" borderId="10" xfId="0" applyNumberFormat="1" applyFont="1" applyFill="1" applyBorder="1" applyAlignment="1">
      <alignment horizontal="center" vertical="center" wrapText="1"/>
    </xf>
    <xf numFmtId="177" fontId="16" fillId="0" borderId="11" xfId="0" applyNumberFormat="1" applyFont="1" applyFill="1" applyBorder="1" applyAlignment="1">
      <alignment horizontal="center" vertical="center" wrapText="1"/>
    </xf>
    <xf numFmtId="0" fontId="22" fillId="0" borderId="0" xfId="60" applyFont="1" applyFill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0" fillId="0" borderId="10" xfId="57" applyFont="1" applyFill="1" applyBorder="1" applyAlignment="1">
      <alignment horizontal="left"/>
      <protection/>
    </xf>
    <xf numFmtId="177" fontId="16" fillId="0" borderId="10" xfId="0" applyNumberFormat="1" applyFont="1" applyBorder="1" applyAlignment="1">
      <alignment horizontal="center" vertical="center" wrapText="1"/>
    </xf>
    <xf numFmtId="177" fontId="16" fillId="0" borderId="10" xfId="57" applyNumberFormat="1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 vertical="center" wrapText="1"/>
    </xf>
    <xf numFmtId="0" fontId="20" fillId="0" borderId="0" xfId="57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vertical="top"/>
    </xf>
    <xf numFmtId="0" fontId="41" fillId="0" borderId="0" xfId="57" applyFont="1" applyFill="1" applyAlignment="1">
      <alignment horizontal="left" vertical="top"/>
      <protection/>
    </xf>
    <xf numFmtId="0" fontId="33" fillId="0" borderId="0" xfId="57" applyFont="1" applyFill="1" applyAlignment="1">
      <alignment horizontal="center"/>
      <protection/>
    </xf>
    <xf numFmtId="177" fontId="16" fillId="0" borderId="0" xfId="0" applyNumberFormat="1" applyFont="1" applyFill="1" applyAlignment="1">
      <alignment/>
    </xf>
    <xf numFmtId="0" fontId="0" fillId="0" borderId="0" xfId="0" applyAlignment="1">
      <alignment/>
    </xf>
    <xf numFmtId="177" fontId="28" fillId="0" borderId="10" xfId="0" applyNumberFormat="1" applyFont="1" applyFill="1" applyBorder="1" applyAlignment="1">
      <alignment horizontal="center" vertical="center" wrapText="1"/>
    </xf>
    <xf numFmtId="0" fontId="22" fillId="0" borderId="0" xfId="58" applyFont="1" applyFill="1" applyAlignment="1">
      <alignment horizontal="center" vertical="center"/>
      <protection/>
    </xf>
    <xf numFmtId="0" fontId="30" fillId="0" borderId="12" xfId="58" applyFont="1" applyFill="1" applyBorder="1" applyAlignment="1">
      <alignment horizontal="left"/>
      <protection/>
    </xf>
    <xf numFmtId="0" fontId="30" fillId="0" borderId="10" xfId="58" applyFont="1" applyFill="1" applyBorder="1" applyAlignment="1">
      <alignment horizontal="left"/>
      <protection/>
    </xf>
    <xf numFmtId="0" fontId="30" fillId="0" borderId="13" xfId="58" applyFont="1" applyFill="1" applyBorder="1" applyAlignment="1">
      <alignment horizontal="left"/>
      <protection/>
    </xf>
    <xf numFmtId="177" fontId="16" fillId="0" borderId="14" xfId="0" applyNumberFormat="1" applyFont="1" applyFill="1" applyBorder="1" applyAlignment="1">
      <alignment horizontal="center" vertical="center" wrapText="1"/>
    </xf>
    <xf numFmtId="177" fontId="16" fillId="0" borderId="15" xfId="0" applyNumberFormat="1" applyFont="1" applyFill="1" applyBorder="1" applyAlignment="1">
      <alignment horizontal="center" vertical="center" wrapText="1"/>
    </xf>
    <xf numFmtId="177" fontId="16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7" fontId="0" fillId="0" borderId="10" xfId="0" applyNumberForma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21" fillId="0" borderId="0" xfId="57" applyFont="1" applyFill="1" applyAlignment="1">
      <alignment vertical="top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0" fontId="21" fillId="0" borderId="0" xfId="57" applyFont="1" applyFill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0" xfId="57" applyFont="1" applyFill="1">
      <alignment/>
      <protection/>
    </xf>
    <xf numFmtId="0" fontId="1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177" fontId="16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173" fontId="7" fillId="0" borderId="10" xfId="42" applyNumberFormat="1" applyFont="1" applyFill="1" applyBorder="1" applyAlignment="1">
      <alignment horizontal="right" vertical="center"/>
    </xf>
    <xf numFmtId="173" fontId="7" fillId="0" borderId="10" xfId="42" applyNumberFormat="1" applyFont="1" applyFill="1" applyBorder="1" applyAlignment="1">
      <alignment horizontal="left"/>
    </xf>
    <xf numFmtId="173" fontId="0" fillId="0" borderId="0" xfId="42" applyNumberFormat="1" applyFont="1" applyAlignment="1">
      <alignment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173" fontId="7" fillId="0" borderId="10" xfId="42" applyNumberFormat="1" applyFont="1" applyFill="1" applyBorder="1" applyAlignment="1">
      <alignment horizontal="center" vertical="center" wrapText="1"/>
    </xf>
    <xf numFmtId="173" fontId="7" fillId="33" borderId="10" xfId="42" applyNumberFormat="1" applyFont="1" applyFill="1" applyBorder="1" applyAlignment="1">
      <alignment/>
    </xf>
    <xf numFmtId="173" fontId="7" fillId="0" borderId="0" xfId="42" applyNumberFormat="1" applyFont="1" applyAlignment="1">
      <alignment/>
    </xf>
    <xf numFmtId="173" fontId="34" fillId="0" borderId="0" xfId="42" applyNumberFormat="1" applyFont="1" applyFill="1" applyBorder="1" applyAlignment="1">
      <alignment horizontal="center" vertical="center"/>
    </xf>
    <xf numFmtId="173" fontId="34" fillId="0" borderId="0" xfId="42" applyNumberFormat="1" applyFont="1" applyBorder="1" applyAlignment="1">
      <alignment/>
    </xf>
    <xf numFmtId="173" fontId="7" fillId="0" borderId="10" xfId="42" applyNumberFormat="1" applyFont="1" applyFill="1" applyBorder="1" applyAlignment="1">
      <alignment/>
    </xf>
    <xf numFmtId="173" fontId="7" fillId="0" borderId="0" xfId="42" applyNumberFormat="1" applyFont="1" applyBorder="1" applyAlignment="1">
      <alignment/>
    </xf>
    <xf numFmtId="173" fontId="7" fillId="33" borderId="10" xfId="42" applyNumberFormat="1" applyFont="1" applyFill="1" applyBorder="1" applyAlignment="1">
      <alignment horizontal="right" vertical="center"/>
    </xf>
    <xf numFmtId="173" fontId="7" fillId="0" borderId="10" xfId="42" applyNumberFormat="1" applyFont="1" applyFill="1" applyBorder="1" applyAlignment="1">
      <alignment horizontal="center" vertical="center" wrapText="1"/>
    </xf>
    <xf numFmtId="173" fontId="23" fillId="0" borderId="0" xfId="42" applyNumberFormat="1" applyFont="1" applyBorder="1" applyAlignment="1">
      <alignment/>
    </xf>
    <xf numFmtId="173" fontId="7" fillId="0" borderId="0" xfId="42" applyNumberFormat="1" applyFont="1" applyFill="1" applyAlignment="1">
      <alignment/>
    </xf>
    <xf numFmtId="173" fontId="7" fillId="33" borderId="10" xfId="42" applyNumberFormat="1" applyFont="1" applyFill="1" applyBorder="1" applyAlignment="1">
      <alignment horizontal="right"/>
    </xf>
    <xf numFmtId="173" fontId="25" fillId="0" borderId="0" xfId="42" applyNumberFormat="1" applyFont="1" applyAlignment="1">
      <alignment/>
    </xf>
    <xf numFmtId="173" fontId="25" fillId="0" borderId="0" xfId="42" applyNumberFormat="1" applyFont="1" applyFill="1" applyAlignment="1">
      <alignment/>
    </xf>
    <xf numFmtId="173" fontId="7" fillId="0" borderId="0" xfId="42" applyNumberFormat="1" applyFont="1" applyFill="1" applyAlignment="1">
      <alignment/>
    </xf>
    <xf numFmtId="173" fontId="7" fillId="0" borderId="10" xfId="42" applyNumberFormat="1" applyFont="1" applyBorder="1" applyAlignment="1">
      <alignment/>
    </xf>
    <xf numFmtId="173" fontId="7" fillId="0" borderId="0" xfId="42" applyNumberFormat="1" applyFont="1" applyFill="1" applyBorder="1" applyAlignment="1">
      <alignment/>
    </xf>
    <xf numFmtId="173" fontId="4" fillId="0" borderId="0" xfId="42" applyNumberFormat="1" applyFont="1" applyFill="1" applyAlignment="1">
      <alignment horizontal="left" vertical="top"/>
    </xf>
    <xf numFmtId="173" fontId="37" fillId="0" borderId="0" xfId="42" applyNumberFormat="1" applyFont="1" applyFill="1" applyAlignment="1">
      <alignment/>
    </xf>
    <xf numFmtId="173" fontId="16" fillId="0" borderId="11" xfId="42" applyNumberFormat="1" applyFont="1" applyFill="1" applyBorder="1" applyAlignment="1">
      <alignment horizontal="center" vertical="center" wrapText="1"/>
    </xf>
    <xf numFmtId="173" fontId="15" fillId="33" borderId="10" xfId="42" applyNumberFormat="1" applyFont="1" applyFill="1" applyBorder="1" applyAlignment="1">
      <alignment vertical="center"/>
    </xf>
    <xf numFmtId="173" fontId="47" fillId="33" borderId="10" xfId="42" applyNumberFormat="1" applyFont="1" applyFill="1" applyBorder="1" applyAlignment="1" applyProtection="1">
      <alignment horizontal="center" vertical="center" wrapText="1"/>
      <protection/>
    </xf>
    <xf numFmtId="173" fontId="3" fillId="0" borderId="0" xfId="42" applyNumberFormat="1" applyFont="1" applyAlignment="1">
      <alignment/>
    </xf>
    <xf numFmtId="0" fontId="7" fillId="0" borderId="10" xfId="0" applyFont="1" applyFill="1" applyBorder="1" applyAlignment="1">
      <alignment/>
    </xf>
    <xf numFmtId="173" fontId="7" fillId="0" borderId="10" xfId="42" applyNumberFormat="1" applyFont="1" applyFill="1" applyBorder="1" applyAlignment="1" quotePrefix="1">
      <alignment horizontal="right" vertical="center"/>
    </xf>
    <xf numFmtId="173" fontId="7" fillId="0" borderId="10" xfId="42" applyNumberFormat="1" applyFont="1" applyBorder="1" applyAlignment="1">
      <alignment horizontal="right"/>
    </xf>
    <xf numFmtId="173" fontId="7" fillId="0" borderId="10" xfId="42" applyNumberFormat="1" applyFont="1" applyFill="1" applyBorder="1" applyAlignment="1">
      <alignment horizontal="right"/>
    </xf>
    <xf numFmtId="173" fontId="7" fillId="5" borderId="10" xfId="42" applyNumberFormat="1" applyFont="1" applyFill="1" applyBorder="1" applyAlignment="1">
      <alignment/>
    </xf>
    <xf numFmtId="173" fontId="7" fillId="0" borderId="10" xfId="42" applyNumberFormat="1" applyFont="1" applyFill="1" applyBorder="1" applyAlignment="1">
      <alignment horizontal="center" vertical="center"/>
    </xf>
    <xf numFmtId="173" fontId="28" fillId="33" borderId="10" xfId="42" applyNumberFormat="1" applyFont="1" applyFill="1" applyBorder="1" applyAlignment="1">
      <alignment horizontal="right"/>
    </xf>
    <xf numFmtId="173" fontId="28" fillId="33" borderId="10" xfId="42" applyNumberFormat="1" applyFont="1" applyFill="1" applyBorder="1" applyAlignment="1">
      <alignment horizontal="right" vertical="center" wrapText="1"/>
    </xf>
    <xf numFmtId="173" fontId="7" fillId="5" borderId="10" xfId="42" applyNumberFormat="1" applyFont="1" applyFill="1" applyBorder="1" applyAlignment="1">
      <alignment horizontal="center" vertical="center" wrapText="1"/>
    </xf>
    <xf numFmtId="173" fontId="34" fillId="5" borderId="10" xfId="42" applyNumberFormat="1" applyFont="1" applyFill="1" applyBorder="1" applyAlignment="1">
      <alignment/>
    </xf>
    <xf numFmtId="173" fontId="7" fillId="5" borderId="10" xfId="42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173" fontId="34" fillId="0" borderId="10" xfId="42" applyNumberFormat="1" applyFont="1" applyFill="1" applyBorder="1" applyAlignment="1">
      <alignment horizontal="right"/>
    </xf>
    <xf numFmtId="0" fontId="26" fillId="0" borderId="0" xfId="0" applyFont="1" applyFill="1" applyAlignment="1">
      <alignment vertical="top"/>
    </xf>
    <xf numFmtId="0" fontId="48" fillId="0" borderId="0" xfId="0" applyFont="1" applyFill="1" applyBorder="1" applyAlignment="1">
      <alignment/>
    </xf>
    <xf numFmtId="0" fontId="28" fillId="0" borderId="10" xfId="58" applyFont="1" applyFill="1" applyBorder="1" applyAlignment="1">
      <alignment horizontal="center" wrapText="1"/>
      <protection/>
    </xf>
    <xf numFmtId="0" fontId="28" fillId="0" borderId="10" xfId="0" applyFont="1" applyFill="1" applyBorder="1" applyAlignment="1">
      <alignment wrapText="1"/>
    </xf>
    <xf numFmtId="0" fontId="28" fillId="34" borderId="10" xfId="58" applyFont="1" applyFill="1" applyBorder="1" applyAlignment="1">
      <alignment horizontal="center" wrapText="1"/>
      <protection/>
    </xf>
    <xf numFmtId="0" fontId="28" fillId="0" borderId="10" xfId="0" applyFont="1" applyFill="1" applyBorder="1" applyAlignment="1" applyProtection="1">
      <alignment vertical="center" wrapText="1"/>
      <protection locked="0"/>
    </xf>
    <xf numFmtId="0" fontId="28" fillId="34" borderId="10" xfId="0" applyFont="1" applyFill="1" applyBorder="1" applyAlignment="1" applyProtection="1">
      <alignment vertical="center" wrapText="1"/>
      <protection locked="0"/>
    </xf>
    <xf numFmtId="0" fontId="28" fillId="0" borderId="10" xfId="58" applyFont="1" applyFill="1" applyBorder="1" applyAlignment="1">
      <alignment/>
      <protection/>
    </xf>
    <xf numFmtId="173" fontId="28" fillId="0" borderId="10" xfId="42" applyNumberFormat="1" applyFont="1" applyFill="1" applyBorder="1" applyAlignment="1">
      <alignment horizontal="left"/>
    </xf>
    <xf numFmtId="173" fontId="28" fillId="0" borderId="10" xfId="42" applyNumberFormat="1" applyFont="1" applyFill="1" applyBorder="1" applyAlignment="1">
      <alignment/>
    </xf>
    <xf numFmtId="173" fontId="28" fillId="34" borderId="10" xfId="42" applyNumberFormat="1" applyFont="1" applyFill="1" applyBorder="1" applyAlignment="1">
      <alignment/>
    </xf>
    <xf numFmtId="173" fontId="7" fillId="35" borderId="10" xfId="42" applyNumberFormat="1" applyFont="1" applyFill="1" applyBorder="1" applyAlignment="1">
      <alignment/>
    </xf>
    <xf numFmtId="173" fontId="7" fillId="35" borderId="10" xfId="42" applyNumberFormat="1" applyFont="1" applyFill="1" applyBorder="1" applyAlignment="1">
      <alignment horizontal="right" vertical="center"/>
    </xf>
    <xf numFmtId="173" fontId="20" fillId="0" borderId="0" xfId="42" applyNumberFormat="1" applyFont="1" applyFill="1" applyAlignment="1">
      <alignment/>
    </xf>
    <xf numFmtId="173" fontId="16" fillId="0" borderId="0" xfId="42" applyNumberFormat="1" applyFont="1" applyBorder="1" applyAlignment="1">
      <alignment/>
    </xf>
    <xf numFmtId="173" fontId="16" fillId="0" borderId="10" xfId="42" applyNumberFormat="1" applyFont="1" applyBorder="1" applyAlignment="1">
      <alignment horizontal="center" vertical="center" wrapText="1"/>
    </xf>
    <xf numFmtId="173" fontId="16" fillId="0" borderId="10" xfId="42" applyNumberFormat="1" applyFont="1" applyBorder="1" applyAlignment="1">
      <alignment horizontal="center" vertical="center"/>
    </xf>
    <xf numFmtId="173" fontId="0" fillId="0" borderId="0" xfId="42" applyNumberFormat="1" applyFont="1" applyFill="1" applyAlignment="1">
      <alignment/>
    </xf>
    <xf numFmtId="173" fontId="16" fillId="0" borderId="0" xfId="42" applyNumberFormat="1" applyFont="1" applyAlignment="1">
      <alignment/>
    </xf>
    <xf numFmtId="0" fontId="16" fillId="0" borderId="10" xfId="58" applyFont="1" applyFill="1" applyBorder="1" applyAlignment="1">
      <alignment horizontal="center"/>
      <protection/>
    </xf>
    <xf numFmtId="0" fontId="40" fillId="0" borderId="0" xfId="0" applyFont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173" fontId="3" fillId="0" borderId="0" xfId="0" applyNumberFormat="1" applyFont="1" applyFill="1" applyAlignment="1">
      <alignment/>
    </xf>
    <xf numFmtId="173" fontId="30" fillId="33" borderId="10" xfId="42" applyNumberFormat="1" applyFont="1" applyFill="1" applyBorder="1" applyAlignment="1">
      <alignment vertical="center"/>
    </xf>
    <xf numFmtId="173" fontId="35" fillId="33" borderId="10" xfId="42" applyNumberFormat="1" applyFont="1" applyFill="1" applyBorder="1" applyAlignment="1" applyProtection="1">
      <alignment horizontal="center" vertical="center" wrapText="1"/>
      <protection/>
    </xf>
    <xf numFmtId="1" fontId="16" fillId="0" borderId="10" xfId="0" applyNumberFormat="1" applyFont="1" applyFill="1" applyBorder="1" applyAlignment="1">
      <alignment horizontal="center" vertical="center"/>
    </xf>
    <xf numFmtId="173" fontId="16" fillId="33" borderId="10" xfId="42" applyNumberFormat="1" applyFont="1" applyFill="1" applyBorder="1" applyAlignment="1">
      <alignment vertical="top" wrapText="1"/>
    </xf>
    <xf numFmtId="173" fontId="16" fillId="0" borderId="10" xfId="42" applyNumberFormat="1" applyFont="1" applyFill="1" applyBorder="1" applyAlignment="1">
      <alignment vertical="top" wrapText="1"/>
    </xf>
    <xf numFmtId="173" fontId="16" fillId="33" borderId="10" xfId="42" applyNumberFormat="1" applyFont="1" applyFill="1" applyBorder="1" applyAlignment="1" quotePrefix="1">
      <alignment horizontal="right" vertical="center"/>
    </xf>
    <xf numFmtId="173" fontId="16" fillId="0" borderId="10" xfId="42" applyNumberFormat="1" applyFont="1" applyFill="1" applyBorder="1" applyAlignment="1">
      <alignment horizontal="right" vertical="center"/>
    </xf>
    <xf numFmtId="173" fontId="16" fillId="0" borderId="10" xfId="42" applyNumberFormat="1" applyFont="1" applyFill="1" applyBorder="1" applyAlignment="1" quotePrefix="1">
      <alignment horizontal="right" vertical="center"/>
    </xf>
    <xf numFmtId="173" fontId="16" fillId="0" borderId="13" xfId="42" applyNumberFormat="1" applyFont="1" applyFill="1" applyBorder="1" applyAlignment="1">
      <alignment vertical="top" wrapText="1"/>
    </xf>
    <xf numFmtId="173" fontId="16" fillId="5" borderId="10" xfId="42" applyNumberFormat="1" applyFont="1" applyFill="1" applyBorder="1" applyAlignment="1">
      <alignment horizontal="right" vertical="center"/>
    </xf>
    <xf numFmtId="173" fontId="16" fillId="33" borderId="10" xfId="42" applyNumberFormat="1" applyFont="1" applyFill="1" applyBorder="1" applyAlignment="1">
      <alignment horizontal="center" vertical="center"/>
    </xf>
    <xf numFmtId="173" fontId="16" fillId="0" borderId="10" xfId="42" applyNumberFormat="1" applyFont="1" applyFill="1" applyBorder="1" applyAlignment="1">
      <alignment horizontal="center" vertical="top" wrapText="1"/>
    </xf>
    <xf numFmtId="173" fontId="16" fillId="0" borderId="10" xfId="42" applyNumberFormat="1" applyFont="1" applyFill="1" applyBorder="1" applyAlignment="1">
      <alignment horizontal="center" vertical="center"/>
    </xf>
    <xf numFmtId="0" fontId="16" fillId="0" borderId="10" xfId="58" applyFont="1" applyFill="1" applyBorder="1" applyAlignment="1">
      <alignment horizontal="center" wrapText="1"/>
      <protection/>
    </xf>
    <xf numFmtId="0" fontId="16" fillId="0" borderId="10" xfId="0" applyFont="1" applyFill="1" applyBorder="1" applyAlignment="1">
      <alignment wrapText="1"/>
    </xf>
    <xf numFmtId="173" fontId="16" fillId="0" borderId="10" xfId="42" applyNumberFormat="1" applyFont="1" applyBorder="1" applyAlignment="1">
      <alignment/>
    </xf>
    <xf numFmtId="173" fontId="16" fillId="0" borderId="10" xfId="42" applyNumberFormat="1" applyFont="1" applyFill="1" applyBorder="1" applyAlignment="1">
      <alignment/>
    </xf>
    <xf numFmtId="173" fontId="16" fillId="35" borderId="10" xfId="42" applyNumberFormat="1" applyFont="1" applyFill="1" applyBorder="1" applyAlignment="1">
      <alignment/>
    </xf>
    <xf numFmtId="173" fontId="16" fillId="35" borderId="10" xfId="42" applyNumberFormat="1" applyFont="1" applyFill="1" applyBorder="1" applyAlignment="1" quotePrefix="1">
      <alignment horizontal="right" vertical="center"/>
    </xf>
    <xf numFmtId="0" fontId="16" fillId="34" borderId="10" xfId="58" applyFont="1" applyFill="1" applyBorder="1" applyAlignment="1">
      <alignment horizontal="center" wrapText="1"/>
      <protection/>
    </xf>
    <xf numFmtId="0" fontId="16" fillId="0" borderId="10" xfId="0" applyFont="1" applyFill="1" applyBorder="1" applyAlignment="1" applyProtection="1">
      <alignment vertical="center" wrapText="1"/>
      <protection locked="0"/>
    </xf>
    <xf numFmtId="173" fontId="16" fillId="35" borderId="13" xfId="42" applyNumberFormat="1" applyFont="1" applyFill="1" applyBorder="1" applyAlignment="1">
      <alignment vertical="top" wrapText="1"/>
    </xf>
    <xf numFmtId="173" fontId="16" fillId="35" borderId="10" xfId="42" applyNumberFormat="1" applyFont="1" applyFill="1" applyBorder="1" applyAlignment="1">
      <alignment vertical="top" wrapText="1"/>
    </xf>
    <xf numFmtId="173" fontId="16" fillId="5" borderId="10" xfId="42" applyNumberFormat="1" applyFont="1" applyFill="1" applyBorder="1" applyAlignment="1">
      <alignment/>
    </xf>
    <xf numFmtId="0" fontId="16" fillId="34" borderId="10" xfId="0" applyFont="1" applyFill="1" applyBorder="1" applyAlignment="1" applyProtection="1">
      <alignment vertical="center" wrapText="1"/>
      <protection locked="0"/>
    </xf>
    <xf numFmtId="0" fontId="16" fillId="0" borderId="10" xfId="58" applyFont="1" applyFill="1" applyBorder="1" applyAlignment="1">
      <alignment/>
      <protection/>
    </xf>
    <xf numFmtId="173" fontId="16" fillId="0" borderId="13" xfId="42" applyNumberFormat="1" applyFont="1" applyFill="1" applyBorder="1" applyAlignment="1">
      <alignment horizontal="right" vertical="top" wrapText="1"/>
    </xf>
    <xf numFmtId="173" fontId="16" fillId="0" borderId="10" xfId="42" applyNumberFormat="1" applyFont="1" applyBorder="1" applyAlignment="1">
      <alignment horizontal="right"/>
    </xf>
    <xf numFmtId="173" fontId="16" fillId="0" borderId="10" xfId="42" applyNumberFormat="1" applyFont="1" applyFill="1" applyBorder="1" applyAlignment="1">
      <alignment horizontal="right"/>
    </xf>
    <xf numFmtId="173" fontId="16" fillId="0" borderId="10" xfId="42" applyNumberFormat="1" applyFont="1" applyFill="1" applyBorder="1" applyAlignment="1">
      <alignment horizontal="left"/>
    </xf>
    <xf numFmtId="173" fontId="16" fillId="0" borderId="10" xfId="42" applyNumberFormat="1" applyFont="1" applyFill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173" fontId="16" fillId="0" borderId="0" xfId="42" applyNumberFormat="1" applyFont="1" applyFill="1" applyAlignment="1">
      <alignment/>
    </xf>
    <xf numFmtId="1" fontId="16" fillId="0" borderId="0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 vertical="center"/>
    </xf>
    <xf numFmtId="173" fontId="16" fillId="33" borderId="10" xfId="42" applyNumberFormat="1" applyFont="1" applyFill="1" applyBorder="1" applyAlignment="1">
      <alignment horizontal="right" vertical="center"/>
    </xf>
    <xf numFmtId="173" fontId="16" fillId="35" borderId="10" xfId="42" applyNumberFormat="1" applyFont="1" applyFill="1" applyBorder="1" applyAlignment="1">
      <alignment horizontal="right" vertical="center"/>
    </xf>
    <xf numFmtId="173" fontId="23" fillId="0" borderId="10" xfId="42" applyNumberFormat="1" applyFont="1" applyFill="1" applyBorder="1" applyAlignment="1">
      <alignment horizontal="right" vertical="center" wrapText="1"/>
    </xf>
    <xf numFmtId="173" fontId="7" fillId="0" borderId="10" xfId="42" applyNumberFormat="1" applyFont="1" applyFill="1" applyBorder="1" applyAlignment="1">
      <alignment horizontal="right" vertical="center" wrapText="1"/>
    </xf>
    <xf numFmtId="173" fontId="15" fillId="33" borderId="10" xfId="42" applyNumberFormat="1" applyFont="1" applyFill="1" applyBorder="1" applyAlignment="1">
      <alignment horizontal="right" vertical="center"/>
    </xf>
    <xf numFmtId="173" fontId="47" fillId="33" borderId="10" xfId="42" applyNumberFormat="1" applyFont="1" applyFill="1" applyBorder="1" applyAlignment="1" applyProtection="1">
      <alignment horizontal="right" vertical="center" wrapText="1"/>
      <protection/>
    </xf>
    <xf numFmtId="173" fontId="47" fillId="5" borderId="10" xfId="42" applyNumberFormat="1" applyFont="1" applyFill="1" applyBorder="1" applyAlignment="1">
      <alignment horizontal="right" vertical="center" wrapText="1"/>
    </xf>
    <xf numFmtId="173" fontId="51" fillId="5" borderId="10" xfId="42" applyNumberFormat="1" applyFont="1" applyFill="1" applyBorder="1" applyAlignment="1">
      <alignment horizontal="right" vertical="center" wrapText="1"/>
    </xf>
    <xf numFmtId="173" fontId="52" fillId="0" borderId="10" xfId="42" applyNumberFormat="1" applyFont="1" applyFill="1" applyBorder="1" applyAlignment="1">
      <alignment/>
    </xf>
    <xf numFmtId="0" fontId="16" fillId="35" borderId="0" xfId="0" applyFont="1" applyFill="1" applyAlignment="1">
      <alignment/>
    </xf>
    <xf numFmtId="0" fontId="50" fillId="35" borderId="0" xfId="0" applyFont="1" applyFill="1" applyBorder="1" applyAlignment="1">
      <alignment/>
    </xf>
    <xf numFmtId="173" fontId="16" fillId="35" borderId="0" xfId="42" applyNumberFormat="1" applyFont="1" applyFill="1" applyAlignment="1">
      <alignment/>
    </xf>
    <xf numFmtId="1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top" wrapText="1"/>
    </xf>
    <xf numFmtId="3" fontId="7" fillId="33" borderId="10" xfId="42" applyNumberFormat="1" applyFont="1" applyFill="1" applyBorder="1" applyAlignment="1">
      <alignment horizontal="right" vertical="center"/>
    </xf>
    <xf numFmtId="3" fontId="7" fillId="0" borderId="10" xfId="42" applyNumberFormat="1" applyFont="1" applyFill="1" applyBorder="1" applyAlignment="1">
      <alignment horizontal="right" vertical="center"/>
    </xf>
    <xf numFmtId="1" fontId="53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6" fillId="0" borderId="10" xfId="58" applyFont="1" applyFill="1" applyBorder="1" applyAlignment="1">
      <alignment horizontal="left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7" fillId="0" borderId="10" xfId="42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/>
    </xf>
    <xf numFmtId="0" fontId="16" fillId="0" borderId="10" xfId="57" applyFont="1" applyFill="1" applyBorder="1" applyAlignment="1">
      <alignment horizontal="center" vertical="center"/>
      <protection/>
    </xf>
    <xf numFmtId="173" fontId="7" fillId="33" borderId="10" xfId="42" applyNumberFormat="1" applyFont="1" applyFill="1" applyBorder="1" applyAlignment="1" applyProtection="1">
      <alignment horizontal="right" vertical="center" wrapText="1"/>
      <protection/>
    </xf>
    <xf numFmtId="173" fontId="7" fillId="0" borderId="17" xfId="42" applyNumberFormat="1" applyFont="1" applyBorder="1" applyAlignment="1">
      <alignment horizontal="right"/>
    </xf>
    <xf numFmtId="173" fontId="7" fillId="0" borderId="11" xfId="42" applyNumberFormat="1" applyFont="1" applyBorder="1" applyAlignment="1">
      <alignment horizontal="right"/>
    </xf>
    <xf numFmtId="9" fontId="16" fillId="33" borderId="10" xfId="42" applyNumberFormat="1" applyFont="1" applyFill="1" applyBorder="1" applyAlignment="1">
      <alignment/>
    </xf>
    <xf numFmtId="9" fontId="30" fillId="33" borderId="10" xfId="42" applyNumberFormat="1" applyFont="1" applyFill="1" applyBorder="1" applyAlignment="1">
      <alignment vertical="center"/>
    </xf>
    <xf numFmtId="173" fontId="16" fillId="33" borderId="10" xfId="42" applyNumberFormat="1" applyFont="1" applyFill="1" applyBorder="1" applyAlignment="1">
      <alignment horizontal="right"/>
    </xf>
    <xf numFmtId="173" fontId="16" fillId="33" borderId="10" xfId="42" applyNumberFormat="1" applyFont="1" applyFill="1" applyBorder="1" applyAlignment="1">
      <alignment/>
    </xf>
    <xf numFmtId="173" fontId="16" fillId="0" borderId="10" xfId="42" applyNumberFormat="1" applyFont="1" applyBorder="1" applyAlignment="1">
      <alignment horizontal="center"/>
    </xf>
    <xf numFmtId="173" fontId="16" fillId="0" borderId="10" xfId="42" applyNumberFormat="1" applyFont="1" applyFill="1" applyBorder="1" applyAlignment="1">
      <alignment horizontal="center"/>
    </xf>
    <xf numFmtId="173" fontId="16" fillId="33" borderId="10" xfId="42" applyNumberFormat="1" applyFont="1" applyFill="1" applyBorder="1" applyAlignment="1">
      <alignment vertical="center"/>
    </xf>
    <xf numFmtId="173" fontId="16" fillId="0" borderId="18" xfId="42" applyNumberFormat="1" applyFont="1" applyFill="1" applyBorder="1" applyAlignment="1">
      <alignment horizontal="right" vertical="center"/>
    </xf>
    <xf numFmtId="0" fontId="16" fillId="0" borderId="10" xfId="58" applyFont="1" applyFill="1" applyBorder="1" applyAlignment="1">
      <alignment wrapText="1"/>
      <protection/>
    </xf>
    <xf numFmtId="173" fontId="16" fillId="0" borderId="10" xfId="42" applyNumberFormat="1" applyFont="1" applyFill="1" applyBorder="1" applyAlignment="1">
      <alignment horizontal="left" wrapText="1"/>
    </xf>
    <xf numFmtId="173" fontId="16" fillId="0" borderId="10" xfId="42" applyNumberFormat="1" applyFont="1" applyFill="1" applyBorder="1" applyAlignment="1">
      <alignment horizontal="left" vertical="center" wrapText="1"/>
    </xf>
    <xf numFmtId="173" fontId="16" fillId="0" borderId="10" xfId="42" applyNumberFormat="1" applyFont="1" applyFill="1" applyBorder="1" applyAlignment="1">
      <alignment vertical="center" wrapText="1"/>
    </xf>
    <xf numFmtId="177" fontId="45" fillId="0" borderId="10" xfId="0" applyNumberFormat="1" applyFont="1" applyBorder="1" applyAlignment="1">
      <alignment horizontal="center" vertical="center" wrapText="1"/>
    </xf>
    <xf numFmtId="173" fontId="59" fillId="33" borderId="10" xfId="42" applyNumberFormat="1" applyFont="1" applyFill="1" applyBorder="1" applyAlignment="1" applyProtection="1">
      <alignment horizontal="right" vertical="center" wrapText="1"/>
      <protection/>
    </xf>
    <xf numFmtId="173" fontId="45" fillId="0" borderId="10" xfId="42" applyNumberFormat="1" applyFont="1" applyBorder="1" applyAlignment="1">
      <alignment horizontal="right"/>
    </xf>
    <xf numFmtId="173" fontId="45" fillId="0" borderId="10" xfId="42" applyNumberFormat="1" applyFont="1" applyBorder="1" applyAlignment="1">
      <alignment horizontal="right" vertical="center" wrapText="1"/>
    </xf>
    <xf numFmtId="173" fontId="45" fillId="0" borderId="0" xfId="42" applyNumberFormat="1" applyFont="1" applyFill="1" applyAlignment="1">
      <alignment horizontal="right"/>
    </xf>
    <xf numFmtId="173" fontId="45" fillId="0" borderId="10" xfId="42" applyNumberFormat="1" applyFont="1" applyFill="1" applyBorder="1" applyAlignment="1">
      <alignment horizontal="right"/>
    </xf>
    <xf numFmtId="173" fontId="45" fillId="35" borderId="10" xfId="42" applyNumberFormat="1" applyFont="1" applyFill="1" applyBorder="1" applyAlignment="1">
      <alignment horizontal="right"/>
    </xf>
    <xf numFmtId="173" fontId="45" fillId="0" borderId="10" xfId="42" applyNumberFormat="1" applyFont="1" applyFill="1" applyBorder="1" applyAlignment="1">
      <alignment horizontal="right" vertical="center" wrapText="1"/>
    </xf>
    <xf numFmtId="173" fontId="45" fillId="5" borderId="10" xfId="42" applyNumberFormat="1" applyFont="1" applyFill="1" applyBorder="1" applyAlignment="1">
      <alignment horizontal="right" vertical="center" wrapText="1"/>
    </xf>
    <xf numFmtId="173" fontId="45" fillId="5" borderId="19" xfId="42" applyNumberFormat="1" applyFont="1" applyFill="1" applyBorder="1" applyAlignment="1">
      <alignment horizontal="right" vertical="top" wrapText="1"/>
    </xf>
    <xf numFmtId="173" fontId="45" fillId="0" borderId="0" xfId="42" applyNumberFormat="1" applyFont="1" applyAlignment="1">
      <alignment horizontal="right"/>
    </xf>
    <xf numFmtId="173" fontId="45" fillId="0" borderId="10" xfId="42" applyNumberFormat="1" applyFont="1" applyFill="1" applyBorder="1" applyAlignment="1">
      <alignment horizontal="right" wrapText="1"/>
    </xf>
    <xf numFmtId="173" fontId="45" fillId="0" borderId="10" xfId="42" applyNumberFormat="1" applyFont="1" applyBorder="1" applyAlignment="1">
      <alignment horizontal="right" wrapText="1"/>
    </xf>
    <xf numFmtId="173" fontId="45" fillId="5" borderId="10" xfId="42" applyNumberFormat="1" applyFont="1" applyFill="1" applyBorder="1" applyAlignment="1">
      <alignment horizontal="right"/>
    </xf>
    <xf numFmtId="0" fontId="16" fillId="0" borderId="10" xfId="58" applyFont="1" applyFill="1" applyBorder="1" applyAlignment="1">
      <alignment horizontal="left" vertical="center" wrapText="1"/>
      <protection/>
    </xf>
    <xf numFmtId="173" fontId="28" fillId="33" borderId="10" xfId="42" applyNumberFormat="1" applyFont="1" applyFill="1" applyBorder="1" applyAlignment="1">
      <alignment/>
    </xf>
    <xf numFmtId="173" fontId="28" fillId="0" borderId="10" xfId="42" applyNumberFormat="1" applyFont="1" applyBorder="1" applyAlignment="1">
      <alignment/>
    </xf>
    <xf numFmtId="173" fontId="28" fillId="0" borderId="10" xfId="42" applyNumberFormat="1" applyFont="1" applyFill="1" applyBorder="1" applyAlignment="1">
      <alignment/>
    </xf>
    <xf numFmtId="173" fontId="42" fillId="33" borderId="10" xfId="42" applyNumberFormat="1" applyFont="1" applyFill="1" applyBorder="1" applyAlignment="1">
      <alignment vertical="center"/>
    </xf>
    <xf numFmtId="173" fontId="61" fillId="33" borderId="10" xfId="42" applyNumberFormat="1" applyFont="1" applyFill="1" applyBorder="1" applyAlignment="1" applyProtection="1">
      <alignment horizontal="center" vertical="center" wrapText="1"/>
      <protection/>
    </xf>
    <xf numFmtId="173" fontId="28" fillId="5" borderId="10" xfId="42" applyNumberFormat="1" applyFont="1" applyFill="1" applyBorder="1" applyAlignment="1">
      <alignment/>
    </xf>
    <xf numFmtId="173" fontId="28" fillId="35" borderId="10" xfId="42" applyNumberFormat="1" applyFont="1" applyFill="1" applyBorder="1" applyAlignment="1">
      <alignment/>
    </xf>
    <xf numFmtId="173" fontId="28" fillId="0" borderId="10" xfId="42" applyNumberFormat="1" applyFont="1" applyBorder="1" applyAlignment="1">
      <alignment horizontal="right"/>
    </xf>
    <xf numFmtId="173" fontId="15" fillId="33" borderId="10" xfId="42" applyNumberFormat="1" applyFont="1" applyFill="1" applyBorder="1" applyAlignment="1">
      <alignment horizontal="right"/>
    </xf>
    <xf numFmtId="173" fontId="7" fillId="5" borderId="10" xfId="42" applyNumberFormat="1" applyFont="1" applyFill="1" applyBorder="1" applyAlignment="1">
      <alignment horizontal="right"/>
    </xf>
    <xf numFmtId="173" fontId="7" fillId="0" borderId="10" xfId="42" applyNumberFormat="1" applyFont="1" applyFill="1" applyBorder="1" applyAlignment="1">
      <alignment horizontal="left" wrapText="1"/>
    </xf>
    <xf numFmtId="173" fontId="7" fillId="0" borderId="10" xfId="42" applyNumberFormat="1" applyFont="1" applyFill="1" applyBorder="1" applyAlignment="1" applyProtection="1">
      <alignment horizontal="left" vertical="center" wrapText="1"/>
      <protection locked="0"/>
    </xf>
    <xf numFmtId="173" fontId="7" fillId="34" borderId="10" xfId="42" applyNumberFormat="1" applyFont="1" applyFill="1" applyBorder="1" applyAlignment="1">
      <alignment horizontal="left" wrapText="1"/>
    </xf>
    <xf numFmtId="173" fontId="7" fillId="34" borderId="10" xfId="42" applyNumberFormat="1" applyFont="1" applyFill="1" applyBorder="1" applyAlignment="1" applyProtection="1">
      <alignment horizontal="left" vertical="center" wrapText="1"/>
      <protection locked="0"/>
    </xf>
    <xf numFmtId="173" fontId="16" fillId="0" borderId="13" xfId="42" applyNumberFormat="1" applyFont="1" applyFill="1" applyBorder="1" applyAlignment="1">
      <alignment horizontal="left"/>
    </xf>
    <xf numFmtId="173" fontId="30" fillId="0" borderId="13" xfId="42" applyNumberFormat="1" applyFont="1" applyFill="1" applyBorder="1" applyAlignment="1">
      <alignment horizontal="left"/>
    </xf>
    <xf numFmtId="173" fontId="30" fillId="0" borderId="12" xfId="42" applyNumberFormat="1" applyFont="1" applyFill="1" applyBorder="1" applyAlignment="1">
      <alignment horizontal="left"/>
    </xf>
    <xf numFmtId="173" fontId="16" fillId="0" borderId="13" xfId="42" applyNumberFormat="1" applyFont="1" applyFill="1" applyBorder="1" applyAlignment="1">
      <alignment horizontal="left" wrapText="1"/>
    </xf>
    <xf numFmtId="173" fontId="16" fillId="0" borderId="12" xfId="42" applyNumberFormat="1" applyFont="1" applyFill="1" applyBorder="1" applyAlignment="1">
      <alignment horizontal="left" wrapText="1"/>
    </xf>
    <xf numFmtId="173" fontId="16" fillId="0" borderId="12" xfId="42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173" fontId="16" fillId="33" borderId="13" xfId="42" applyNumberFormat="1" applyFont="1" applyFill="1" applyBorder="1" applyAlignment="1">
      <alignment vertical="top" wrapText="1"/>
    </xf>
    <xf numFmtId="173" fontId="16" fillId="0" borderId="13" xfId="42" applyNumberFormat="1" applyFont="1" applyFill="1" applyBorder="1" applyAlignment="1">
      <alignment vertical="center"/>
    </xf>
    <xf numFmtId="173" fontId="16" fillId="0" borderId="10" xfId="42" applyNumberFormat="1" applyFont="1" applyFill="1" applyBorder="1" applyAlignment="1">
      <alignment vertical="center"/>
    </xf>
    <xf numFmtId="173" fontId="7" fillId="0" borderId="10" xfId="42" applyNumberFormat="1" applyFont="1" applyFill="1" applyBorder="1" applyAlignment="1" applyProtection="1">
      <alignment/>
      <protection/>
    </xf>
    <xf numFmtId="173" fontId="28" fillId="5" borderId="10" xfId="42" applyNumberFormat="1" applyFont="1" applyFill="1" applyBorder="1" applyAlignment="1">
      <alignment horizontal="center"/>
    </xf>
    <xf numFmtId="173" fontId="28" fillId="33" borderId="10" xfId="42" applyNumberFormat="1" applyFont="1" applyFill="1" applyBorder="1" applyAlignment="1">
      <alignment horizontal="center"/>
    </xf>
    <xf numFmtId="173" fontId="28" fillId="5" borderId="10" xfId="42" applyNumberFormat="1" applyFont="1" applyFill="1" applyBorder="1" applyAlignment="1">
      <alignment horizontal="right"/>
    </xf>
    <xf numFmtId="173" fontId="16" fillId="36" borderId="10" xfId="42" applyNumberFormat="1" applyFont="1" applyFill="1" applyBorder="1" applyAlignment="1">
      <alignment horizontal="right" wrapText="1"/>
    </xf>
    <xf numFmtId="173" fontId="16" fillId="36" borderId="10" xfId="42" applyNumberFormat="1" applyFont="1" applyFill="1" applyBorder="1" applyAlignment="1">
      <alignment/>
    </xf>
    <xf numFmtId="173" fontId="16" fillId="36" borderId="10" xfId="42" applyNumberFormat="1" applyFont="1" applyFill="1" applyBorder="1" applyAlignment="1">
      <alignment horizontal="right" vertical="center"/>
    </xf>
    <xf numFmtId="0" fontId="16" fillId="36" borderId="0" xfId="0" applyFont="1" applyFill="1" applyAlignment="1">
      <alignment/>
    </xf>
    <xf numFmtId="173" fontId="16" fillId="37" borderId="10" xfId="42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172" fontId="30" fillId="0" borderId="10" xfId="0" applyNumberFormat="1" applyFont="1" applyFill="1" applyBorder="1" applyAlignment="1">
      <alignment horizontal="center" vertical="center" wrapText="1"/>
    </xf>
    <xf numFmtId="172" fontId="16" fillId="0" borderId="10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3" fontId="16" fillId="0" borderId="10" xfId="42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30" fillId="0" borderId="13" xfId="58" applyFont="1" applyFill="1" applyBorder="1" applyAlignment="1">
      <alignment horizontal="left" wrapText="1"/>
      <protection/>
    </xf>
    <xf numFmtId="0" fontId="30" fillId="0" borderId="16" xfId="58" applyFont="1" applyFill="1" applyBorder="1" applyAlignment="1">
      <alignment horizontal="left" wrapText="1"/>
      <protection/>
    </xf>
    <xf numFmtId="172" fontId="30" fillId="0" borderId="17" xfId="0" applyNumberFormat="1" applyFont="1" applyFill="1" applyBorder="1" applyAlignment="1">
      <alignment horizontal="center" vertical="center" wrapText="1"/>
    </xf>
    <xf numFmtId="172" fontId="30" fillId="0" borderId="18" xfId="0" applyNumberFormat="1" applyFont="1" applyFill="1" applyBorder="1" applyAlignment="1">
      <alignment horizontal="center" vertical="center" wrapText="1"/>
    </xf>
    <xf numFmtId="172" fontId="30" fillId="0" borderId="11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30" fillId="0" borderId="10" xfId="58" applyFont="1" applyFill="1" applyBorder="1" applyAlignment="1">
      <alignment horizontal="left" wrapText="1"/>
      <protection/>
    </xf>
    <xf numFmtId="0" fontId="16" fillId="0" borderId="2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16" fillId="0" borderId="10" xfId="57" applyNumberFormat="1" applyFont="1" applyFill="1" applyBorder="1" applyAlignment="1">
      <alignment horizontal="center" vertical="center" wrapText="1"/>
      <protection/>
    </xf>
    <xf numFmtId="49" fontId="30" fillId="0" borderId="10" xfId="57" applyNumberFormat="1" applyFont="1" applyFill="1" applyBorder="1" applyAlignment="1">
      <alignment horizontal="center" vertical="center" wrapText="1"/>
      <protection/>
    </xf>
    <xf numFmtId="0" fontId="21" fillId="0" borderId="0" xfId="57" applyFont="1" applyFill="1" applyAlignment="1">
      <alignment horizontal="left" vertical="top"/>
      <protection/>
    </xf>
    <xf numFmtId="0" fontId="20" fillId="0" borderId="0" xfId="57" applyFont="1" applyFill="1" applyAlignment="1">
      <alignment horizontal="center" vertical="center"/>
      <protection/>
    </xf>
    <xf numFmtId="0" fontId="22" fillId="0" borderId="0" xfId="57" applyFont="1" applyFill="1" applyAlignment="1">
      <alignment horizontal="center" vertical="center"/>
      <protection/>
    </xf>
    <xf numFmtId="49" fontId="30" fillId="0" borderId="20" xfId="57" applyNumberFormat="1" applyFont="1" applyFill="1" applyBorder="1" applyAlignment="1">
      <alignment horizontal="center" vertical="center" wrapText="1"/>
      <protection/>
    </xf>
    <xf numFmtId="49" fontId="30" fillId="0" borderId="21" xfId="57" applyNumberFormat="1" applyFont="1" applyFill="1" applyBorder="1" applyAlignment="1">
      <alignment horizontal="center" vertical="center" wrapText="1"/>
      <protection/>
    </xf>
    <xf numFmtId="49" fontId="30" fillId="0" borderId="22" xfId="57" applyNumberFormat="1" applyFont="1" applyFill="1" applyBorder="1" applyAlignment="1">
      <alignment horizontal="center" vertical="center" wrapText="1"/>
      <protection/>
    </xf>
    <xf numFmtId="49" fontId="30" fillId="0" borderId="23" xfId="57" applyNumberFormat="1" applyFont="1" applyFill="1" applyBorder="1" applyAlignment="1">
      <alignment horizontal="center" vertical="center" wrapText="1"/>
      <protection/>
    </xf>
    <xf numFmtId="49" fontId="30" fillId="0" borderId="14" xfId="57" applyNumberFormat="1" applyFont="1" applyFill="1" applyBorder="1" applyAlignment="1">
      <alignment horizontal="center" vertical="center" wrapText="1"/>
      <protection/>
    </xf>
    <xf numFmtId="49" fontId="30" fillId="0" borderId="15" xfId="57" applyNumberFormat="1" applyFont="1" applyFill="1" applyBorder="1" applyAlignment="1">
      <alignment horizontal="center" vertical="center" wrapText="1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30" fillId="0" borderId="13" xfId="57" applyFont="1" applyFill="1" applyBorder="1" applyAlignment="1">
      <alignment horizontal="left" wrapText="1"/>
      <protection/>
    </xf>
    <xf numFmtId="0" fontId="30" fillId="0" borderId="12" xfId="57" applyFont="1" applyFill="1" applyBorder="1" applyAlignment="1">
      <alignment horizontal="left" wrapText="1"/>
      <protection/>
    </xf>
    <xf numFmtId="0" fontId="20" fillId="0" borderId="0" xfId="57" applyFont="1" applyFill="1" applyAlignment="1">
      <alignment horizontal="center"/>
      <protection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173" fontId="16" fillId="0" borderId="13" xfId="42" applyNumberFormat="1" applyFont="1" applyFill="1" applyBorder="1" applyAlignment="1">
      <alignment horizontal="center" vertical="center"/>
    </xf>
    <xf numFmtId="173" fontId="16" fillId="0" borderId="16" xfId="42" applyNumberFormat="1" applyFont="1" applyFill="1" applyBorder="1" applyAlignment="1">
      <alignment horizontal="center" vertical="center"/>
    </xf>
    <xf numFmtId="173" fontId="16" fillId="0" borderId="12" xfId="42" applyNumberFormat="1" applyFont="1" applyFill="1" applyBorder="1" applyAlignment="1">
      <alignment horizontal="center" vertical="center"/>
    </xf>
    <xf numFmtId="0" fontId="30" fillId="0" borderId="10" xfId="57" applyFont="1" applyFill="1" applyBorder="1" applyAlignment="1">
      <alignment horizontal="left" wrapText="1"/>
      <protection/>
    </xf>
    <xf numFmtId="0" fontId="30" fillId="0" borderId="13" xfId="57" applyFont="1" applyFill="1" applyBorder="1" applyAlignment="1">
      <alignment horizontal="left" vertical="center" wrapText="1"/>
      <protection/>
    </xf>
    <xf numFmtId="0" fontId="30" fillId="0" borderId="12" xfId="57" applyFont="1" applyFill="1" applyBorder="1" applyAlignment="1">
      <alignment horizontal="left" vertical="center" wrapText="1"/>
      <protection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7" fontId="0" fillId="0" borderId="13" xfId="0" applyNumberFormat="1" applyFill="1" applyBorder="1" applyAlignment="1">
      <alignment horizontal="center"/>
    </xf>
    <xf numFmtId="177" fontId="0" fillId="0" borderId="12" xfId="0" applyNumberForma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  <xf numFmtId="173" fontId="16" fillId="5" borderId="13" xfId="42" applyNumberFormat="1" applyFont="1" applyFill="1" applyBorder="1" applyAlignment="1">
      <alignment horizontal="center"/>
    </xf>
    <xf numFmtId="173" fontId="16" fillId="5" borderId="16" xfId="42" applyNumberFormat="1" applyFont="1" applyFill="1" applyBorder="1" applyAlignment="1">
      <alignment horizontal="center"/>
    </xf>
    <xf numFmtId="173" fontId="16" fillId="5" borderId="12" xfId="42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177" fontId="30" fillId="0" borderId="10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vertical="center" wrapText="1"/>
    </xf>
    <xf numFmtId="49" fontId="30" fillId="0" borderId="16" xfId="0" applyNumberFormat="1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4" xfId="0" applyNumberFormat="1" applyFont="1" applyFill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5" fillId="0" borderId="10" xfId="0" applyFont="1" applyBorder="1" applyAlignment="1">
      <alignment horizontal="center"/>
    </xf>
    <xf numFmtId="1" fontId="16" fillId="0" borderId="10" xfId="0" applyNumberFormat="1" applyFont="1" applyFill="1" applyBorder="1" applyAlignment="1">
      <alignment horizontal="center" vertical="center" wrapText="1"/>
    </xf>
    <xf numFmtId="0" fontId="30" fillId="0" borderId="13" xfId="59" applyFont="1" applyFill="1" applyBorder="1" applyAlignment="1">
      <alignment horizontal="left" vertical="center" wrapText="1"/>
      <protection/>
    </xf>
    <xf numFmtId="0" fontId="30" fillId="0" borderId="12" xfId="59" applyFont="1" applyFill="1" applyBorder="1" applyAlignment="1">
      <alignment horizontal="left" vertical="center" wrapText="1"/>
      <protection/>
    </xf>
    <xf numFmtId="0" fontId="20" fillId="0" borderId="0" xfId="59" applyFont="1" applyFill="1" applyAlignment="1">
      <alignment horizontal="center"/>
      <protection/>
    </xf>
    <xf numFmtId="0" fontId="21" fillId="0" borderId="0" xfId="59" applyFont="1" applyFill="1" applyAlignment="1">
      <alignment horizontal="left" vertical="top"/>
      <protection/>
    </xf>
    <xf numFmtId="0" fontId="20" fillId="0" borderId="0" xfId="59" applyFont="1" applyFill="1" applyAlignment="1">
      <alignment horizontal="center" vertical="center"/>
      <protection/>
    </xf>
    <xf numFmtId="0" fontId="22" fillId="0" borderId="0" xfId="59" applyFont="1" applyFill="1" applyAlignment="1">
      <alignment horizontal="center" vertical="center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7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1" fontId="30" fillId="0" borderId="20" xfId="0" applyNumberFormat="1" applyFont="1" applyFill="1" applyBorder="1" applyAlignment="1">
      <alignment horizontal="center" vertical="center" wrapText="1"/>
    </xf>
    <xf numFmtId="1" fontId="30" fillId="0" borderId="21" xfId="0" applyNumberFormat="1" applyFont="1" applyFill="1" applyBorder="1" applyAlignment="1">
      <alignment horizontal="center" vertical="center" wrapText="1"/>
    </xf>
    <xf numFmtId="1" fontId="30" fillId="0" borderId="22" xfId="0" applyNumberFormat="1" applyFont="1" applyFill="1" applyBorder="1" applyAlignment="1">
      <alignment horizontal="center" vertical="center" wrapText="1"/>
    </xf>
    <xf numFmtId="1" fontId="30" fillId="0" borderId="23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21" fillId="0" borderId="0" xfId="58" applyFont="1" applyFill="1" applyAlignment="1">
      <alignment horizontal="left" vertical="top"/>
      <protection/>
    </xf>
    <xf numFmtId="0" fontId="20" fillId="0" borderId="0" xfId="58" applyFont="1" applyFill="1" applyAlignment="1">
      <alignment horizontal="center"/>
      <protection/>
    </xf>
    <xf numFmtId="0" fontId="20" fillId="0" borderId="0" xfId="58" applyFont="1" applyFill="1" applyAlignment="1">
      <alignment horizontal="center" vertical="center"/>
      <protection/>
    </xf>
    <xf numFmtId="0" fontId="22" fillId="0" borderId="0" xfId="58" applyFont="1" applyFill="1" applyAlignment="1">
      <alignment horizontal="center" vertical="center"/>
      <protection/>
    </xf>
    <xf numFmtId="173" fontId="7" fillId="5" borderId="13" xfId="42" applyNumberFormat="1" applyFont="1" applyFill="1" applyBorder="1" applyAlignment="1">
      <alignment horizontal="right"/>
    </xf>
    <xf numFmtId="173" fontId="7" fillId="5" borderId="16" xfId="42" applyNumberFormat="1" applyFont="1" applyFill="1" applyBorder="1" applyAlignment="1">
      <alignment horizontal="right"/>
    </xf>
    <xf numFmtId="173" fontId="7" fillId="5" borderId="12" xfId="42" applyNumberFormat="1" applyFont="1" applyFill="1" applyBorder="1" applyAlignment="1">
      <alignment horizontal="right"/>
    </xf>
    <xf numFmtId="173" fontId="7" fillId="0" borderId="13" xfId="42" applyNumberFormat="1" applyFont="1" applyFill="1" applyBorder="1" applyAlignment="1">
      <alignment horizontal="center"/>
    </xf>
    <xf numFmtId="173" fontId="7" fillId="0" borderId="16" xfId="42" applyNumberFormat="1" applyFont="1" applyFill="1" applyBorder="1" applyAlignment="1">
      <alignment horizontal="center"/>
    </xf>
    <xf numFmtId="173" fontId="7" fillId="0" borderId="12" xfId="42" applyNumberFormat="1" applyFont="1" applyFill="1" applyBorder="1" applyAlignment="1">
      <alignment horizontal="center"/>
    </xf>
    <xf numFmtId="173" fontId="30" fillId="0" borderId="13" xfId="42" applyNumberFormat="1" applyFont="1" applyBorder="1" applyAlignment="1">
      <alignment horizontal="center" vertical="center" wrapText="1"/>
    </xf>
    <xf numFmtId="173" fontId="30" fillId="0" borderId="12" xfId="42" applyNumberFormat="1" applyFont="1" applyBorder="1" applyAlignment="1">
      <alignment horizontal="center" vertical="center" wrapText="1"/>
    </xf>
    <xf numFmtId="173" fontId="30" fillId="0" borderId="10" xfId="42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15" fillId="0" borderId="13" xfId="42" applyNumberFormat="1" applyFont="1" applyFill="1" applyBorder="1" applyAlignment="1">
      <alignment horizontal="left"/>
    </xf>
    <xf numFmtId="173" fontId="15" fillId="0" borderId="12" xfId="42" applyNumberFormat="1" applyFont="1" applyFill="1" applyBorder="1" applyAlignment="1">
      <alignment horizontal="left"/>
    </xf>
    <xf numFmtId="173" fontId="30" fillId="0" borderId="13" xfId="42" applyNumberFormat="1" applyFont="1" applyFill="1" applyBorder="1" applyAlignment="1">
      <alignment horizontal="left" wrapText="1"/>
    </xf>
    <xf numFmtId="173" fontId="30" fillId="0" borderId="12" xfId="42" applyNumberFormat="1" applyFont="1" applyFill="1" applyBorder="1" applyAlignment="1">
      <alignment horizontal="left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15" fillId="0" borderId="13" xfId="57" applyFont="1" applyFill="1" applyBorder="1" applyAlignment="1">
      <alignment horizontal="left" wrapText="1"/>
      <protection/>
    </xf>
    <xf numFmtId="0" fontId="15" fillId="0" borderId="12" xfId="57" applyFont="1" applyFill="1" applyBorder="1" applyAlignment="1">
      <alignment horizontal="left" wrapText="1"/>
      <protection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horizontal="center" vertical="center" wrapText="1"/>
    </xf>
    <xf numFmtId="177" fontId="16" fillId="0" borderId="1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_Bieu mau Thong ke - phuc vu tong ket (2011-10-04)- sua theo y chi Yen" xfId="58"/>
    <cellStyle name="Normal 2_Bieu mau Thong ke - phuc vu tong ket (2011-10-24)- sua theo gop y cua cac don vi" xfId="59"/>
    <cellStyle name="Normal 2_Bieu mau Thong ke TP(2011-09-20)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238125</xdr:rowOff>
    </xdr:from>
    <xdr:to>
      <xdr:col>1</xdr:col>
      <xdr:colOff>371475</xdr:colOff>
      <xdr:row>0</xdr:row>
      <xdr:rowOff>238125</xdr:rowOff>
    </xdr:to>
    <xdr:sp>
      <xdr:nvSpPr>
        <xdr:cNvPr id="1" name="Straight Connector 1"/>
        <xdr:cNvSpPr>
          <a:spLocks/>
        </xdr:cNvSpPr>
      </xdr:nvSpPr>
      <xdr:spPr>
        <a:xfrm>
          <a:off x="295275" y="2381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238125</xdr:rowOff>
    </xdr:from>
    <xdr:to>
      <xdr:col>1</xdr:col>
      <xdr:colOff>447675</xdr:colOff>
      <xdr:row>0</xdr:row>
      <xdr:rowOff>238125</xdr:rowOff>
    </xdr:to>
    <xdr:sp>
      <xdr:nvSpPr>
        <xdr:cNvPr id="1" name="Straight Connector 1"/>
        <xdr:cNvSpPr>
          <a:spLocks/>
        </xdr:cNvSpPr>
      </xdr:nvSpPr>
      <xdr:spPr>
        <a:xfrm>
          <a:off x="209550" y="2381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9525</xdr:rowOff>
    </xdr:from>
    <xdr:to>
      <xdr:col>1</xdr:col>
      <xdr:colOff>752475</xdr:colOff>
      <xdr:row>1</xdr:row>
      <xdr:rowOff>9525</xdr:rowOff>
    </xdr:to>
    <xdr:sp>
      <xdr:nvSpPr>
        <xdr:cNvPr id="1" name="Line 5"/>
        <xdr:cNvSpPr>
          <a:spLocks/>
        </xdr:cNvSpPr>
      </xdr:nvSpPr>
      <xdr:spPr>
        <a:xfrm>
          <a:off x="609600" y="2476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228600</xdr:rowOff>
    </xdr:from>
    <xdr:to>
      <xdr:col>1</xdr:col>
      <xdr:colOff>495300</xdr:colOff>
      <xdr:row>0</xdr:row>
      <xdr:rowOff>228600</xdr:rowOff>
    </xdr:to>
    <xdr:sp>
      <xdr:nvSpPr>
        <xdr:cNvPr id="1" name="Straight Connector 1"/>
        <xdr:cNvSpPr>
          <a:spLocks/>
        </xdr:cNvSpPr>
      </xdr:nvSpPr>
      <xdr:spPr>
        <a:xfrm>
          <a:off x="342900" y="228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228600</xdr:rowOff>
    </xdr:from>
    <xdr:to>
      <xdr:col>1</xdr:col>
      <xdr:colOff>495300</xdr:colOff>
      <xdr:row>0</xdr:row>
      <xdr:rowOff>228600</xdr:rowOff>
    </xdr:to>
    <xdr:sp>
      <xdr:nvSpPr>
        <xdr:cNvPr id="1" name="Straight Connector 1"/>
        <xdr:cNvSpPr>
          <a:spLocks/>
        </xdr:cNvSpPr>
      </xdr:nvSpPr>
      <xdr:spPr>
        <a:xfrm>
          <a:off x="342900" y="228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238125</xdr:rowOff>
    </xdr:from>
    <xdr:to>
      <xdr:col>1</xdr:col>
      <xdr:colOff>514350</xdr:colOff>
      <xdr:row>0</xdr:row>
      <xdr:rowOff>238125</xdr:rowOff>
    </xdr:to>
    <xdr:sp>
      <xdr:nvSpPr>
        <xdr:cNvPr id="1" name="Straight Connector 2"/>
        <xdr:cNvSpPr>
          <a:spLocks/>
        </xdr:cNvSpPr>
      </xdr:nvSpPr>
      <xdr:spPr>
        <a:xfrm>
          <a:off x="247650" y="23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238125</xdr:rowOff>
    </xdr:from>
    <xdr:to>
      <xdr:col>1</xdr:col>
      <xdr:colOff>514350</xdr:colOff>
      <xdr:row>0</xdr:row>
      <xdr:rowOff>238125</xdr:rowOff>
    </xdr:to>
    <xdr:sp>
      <xdr:nvSpPr>
        <xdr:cNvPr id="1" name="Straight Connector 1"/>
        <xdr:cNvSpPr>
          <a:spLocks/>
        </xdr:cNvSpPr>
      </xdr:nvSpPr>
      <xdr:spPr>
        <a:xfrm>
          <a:off x="247650" y="2381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238125</xdr:rowOff>
    </xdr:from>
    <xdr:to>
      <xdr:col>1</xdr:col>
      <xdr:colOff>171450</xdr:colOff>
      <xdr:row>0</xdr:row>
      <xdr:rowOff>238125</xdr:rowOff>
    </xdr:to>
    <xdr:sp>
      <xdr:nvSpPr>
        <xdr:cNvPr id="1" name="Straight Connector 1"/>
        <xdr:cNvSpPr>
          <a:spLocks/>
        </xdr:cNvSpPr>
      </xdr:nvSpPr>
      <xdr:spPr>
        <a:xfrm>
          <a:off x="209550" y="2381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238125</xdr:rowOff>
    </xdr:from>
    <xdr:to>
      <xdr:col>1</xdr:col>
      <xdr:colOff>447675</xdr:colOff>
      <xdr:row>0</xdr:row>
      <xdr:rowOff>238125</xdr:rowOff>
    </xdr:to>
    <xdr:sp>
      <xdr:nvSpPr>
        <xdr:cNvPr id="1" name="Straight Connector 1"/>
        <xdr:cNvSpPr>
          <a:spLocks/>
        </xdr:cNvSpPr>
      </xdr:nvSpPr>
      <xdr:spPr>
        <a:xfrm>
          <a:off x="209550" y="2381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238125</xdr:rowOff>
    </xdr:from>
    <xdr:to>
      <xdr:col>1</xdr:col>
      <xdr:colOff>447675</xdr:colOff>
      <xdr:row>0</xdr:row>
      <xdr:rowOff>238125</xdr:rowOff>
    </xdr:to>
    <xdr:sp>
      <xdr:nvSpPr>
        <xdr:cNvPr id="1" name="Straight Connector 1"/>
        <xdr:cNvSpPr>
          <a:spLocks/>
        </xdr:cNvSpPr>
      </xdr:nvSpPr>
      <xdr:spPr>
        <a:xfrm>
          <a:off x="209550" y="2381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209550</xdr:rowOff>
    </xdr:from>
    <xdr:to>
      <xdr:col>1</xdr:col>
      <xdr:colOff>447675</xdr:colOff>
      <xdr:row>0</xdr:row>
      <xdr:rowOff>209550</xdr:rowOff>
    </xdr:to>
    <xdr:sp>
      <xdr:nvSpPr>
        <xdr:cNvPr id="1" name="Straight Connector 1"/>
        <xdr:cNvSpPr>
          <a:spLocks/>
        </xdr:cNvSpPr>
      </xdr:nvSpPr>
      <xdr:spPr>
        <a:xfrm>
          <a:off x="209550" y="209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view="pageLayout" workbookViewId="0" topLeftCell="A26">
      <selection activeCell="C35" sqref="C35:R35"/>
    </sheetView>
  </sheetViews>
  <sheetFormatPr defaultColWidth="9.140625" defaultRowHeight="12.75"/>
  <cols>
    <col min="1" max="1" width="4.421875" style="3" customWidth="1"/>
    <col min="2" max="2" width="12.57421875" style="1" customWidth="1"/>
    <col min="3" max="3" width="7.00390625" style="3" customWidth="1"/>
    <col min="4" max="4" width="6.140625" style="3" customWidth="1"/>
    <col min="5" max="5" width="6.57421875" style="3" customWidth="1"/>
    <col min="6" max="6" width="6.8515625" style="3" customWidth="1"/>
    <col min="7" max="7" width="6.421875" style="3" customWidth="1"/>
    <col min="8" max="9" width="6.140625" style="3" customWidth="1"/>
    <col min="10" max="10" width="8.00390625" style="3" customWidth="1"/>
    <col min="11" max="11" width="8.57421875" style="137" customWidth="1"/>
    <col min="12" max="12" width="8.57421875" style="3" customWidth="1"/>
    <col min="13" max="13" width="7.7109375" style="3" customWidth="1"/>
    <col min="14" max="14" width="8.7109375" style="3" customWidth="1"/>
    <col min="15" max="15" width="8.57421875" style="3" customWidth="1"/>
    <col min="16" max="16" width="8.28125" style="3" customWidth="1"/>
    <col min="17" max="17" width="8.00390625" style="3" customWidth="1"/>
    <col min="18" max="18" width="7.57421875" style="3" customWidth="1"/>
    <col min="19" max="16384" width="9.140625" style="6" customWidth="1"/>
  </cols>
  <sheetData>
    <row r="1" spans="1:18" ht="19.5" customHeight="1">
      <c r="A1" s="78" t="s">
        <v>7</v>
      </c>
      <c r="B1" s="78"/>
      <c r="C1" s="57"/>
      <c r="D1" s="39"/>
      <c r="E1" s="39"/>
      <c r="F1" s="39"/>
      <c r="G1" s="39"/>
      <c r="H1" s="39"/>
      <c r="I1" s="39"/>
      <c r="J1" s="39"/>
      <c r="K1" s="132"/>
      <c r="L1" s="39"/>
      <c r="M1" s="39"/>
      <c r="N1" s="39"/>
      <c r="O1" s="39"/>
      <c r="P1" s="39"/>
      <c r="Q1" s="39"/>
      <c r="R1" s="39"/>
    </row>
    <row r="2" spans="1:18" ht="23.25" customHeight="1">
      <c r="A2" s="311" t="s">
        <v>143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8" ht="24" customHeight="1">
      <c r="A3" s="322" t="s">
        <v>144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</row>
    <row r="4" spans="1:18" ht="24" customHeight="1">
      <c r="A4" s="311" t="s">
        <v>169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</row>
    <row r="5" spans="1:18" ht="15.75">
      <c r="A5" s="4"/>
      <c r="B5" s="62"/>
      <c r="C5" s="62"/>
      <c r="D5" s="26"/>
      <c r="E5" s="26"/>
      <c r="F5" s="27"/>
      <c r="G5" s="27"/>
      <c r="H5" s="27"/>
      <c r="I5" s="28"/>
      <c r="J5" s="26"/>
      <c r="K5" s="133"/>
      <c r="L5" s="26"/>
      <c r="M5" s="26"/>
      <c r="N5" s="27"/>
      <c r="O5" s="66" t="s">
        <v>45</v>
      </c>
      <c r="P5" s="27"/>
      <c r="Q5" s="27"/>
      <c r="R5" s="28"/>
    </row>
    <row r="6" spans="1:18" ht="40.5" customHeight="1">
      <c r="A6" s="329"/>
      <c r="B6" s="330"/>
      <c r="C6" s="313" t="s">
        <v>34</v>
      </c>
      <c r="D6" s="313"/>
      <c r="E6" s="313"/>
      <c r="F6" s="313"/>
      <c r="G6" s="313"/>
      <c r="H6" s="313"/>
      <c r="I6" s="313"/>
      <c r="J6" s="326" t="s">
        <v>35</v>
      </c>
      <c r="K6" s="313" t="s">
        <v>101</v>
      </c>
      <c r="L6" s="313"/>
      <c r="M6" s="313"/>
      <c r="N6" s="313"/>
      <c r="O6" s="313"/>
      <c r="P6" s="313" t="s">
        <v>41</v>
      </c>
      <c r="Q6" s="313"/>
      <c r="R6" s="313"/>
    </row>
    <row r="7" spans="1:18" ht="12.75" customHeight="1">
      <c r="A7" s="331"/>
      <c r="B7" s="332"/>
      <c r="C7" s="315" t="s">
        <v>9</v>
      </c>
      <c r="D7" s="312" t="s">
        <v>44</v>
      </c>
      <c r="E7" s="312"/>
      <c r="F7" s="312"/>
      <c r="G7" s="312"/>
      <c r="H7" s="312"/>
      <c r="I7" s="312"/>
      <c r="J7" s="327"/>
      <c r="K7" s="319" t="s">
        <v>9</v>
      </c>
      <c r="L7" s="314" t="s">
        <v>44</v>
      </c>
      <c r="M7" s="314"/>
      <c r="N7" s="314"/>
      <c r="O7" s="314"/>
      <c r="P7" s="314" t="s">
        <v>9</v>
      </c>
      <c r="Q7" s="314" t="s">
        <v>44</v>
      </c>
      <c r="R7" s="314"/>
    </row>
    <row r="8" spans="1:18" ht="12.75">
      <c r="A8" s="331"/>
      <c r="B8" s="332"/>
      <c r="C8" s="316"/>
      <c r="D8" s="315" t="s">
        <v>13</v>
      </c>
      <c r="E8" s="315" t="s">
        <v>262</v>
      </c>
      <c r="F8" s="315" t="s">
        <v>10</v>
      </c>
      <c r="G8" s="315" t="s">
        <v>11</v>
      </c>
      <c r="H8" s="315" t="s">
        <v>129</v>
      </c>
      <c r="I8" s="315" t="s">
        <v>12</v>
      </c>
      <c r="J8" s="327"/>
      <c r="K8" s="319"/>
      <c r="L8" s="320" t="s">
        <v>55</v>
      </c>
      <c r="M8" s="320" t="s">
        <v>56</v>
      </c>
      <c r="N8" s="320" t="s">
        <v>57</v>
      </c>
      <c r="O8" s="320"/>
      <c r="P8" s="314"/>
      <c r="Q8" s="320" t="s">
        <v>42</v>
      </c>
      <c r="R8" s="320" t="s">
        <v>43</v>
      </c>
    </row>
    <row r="9" spans="1:18" ht="31.5" customHeight="1">
      <c r="A9" s="331"/>
      <c r="B9" s="332"/>
      <c r="C9" s="316"/>
      <c r="D9" s="316"/>
      <c r="E9" s="316"/>
      <c r="F9" s="316"/>
      <c r="G9" s="316"/>
      <c r="H9" s="316"/>
      <c r="I9" s="316"/>
      <c r="J9" s="327"/>
      <c r="K9" s="319"/>
      <c r="L9" s="320"/>
      <c r="M9" s="320"/>
      <c r="N9" s="315" t="s">
        <v>9</v>
      </c>
      <c r="O9" s="315" t="s">
        <v>58</v>
      </c>
      <c r="P9" s="314"/>
      <c r="Q9" s="320"/>
      <c r="R9" s="320"/>
    </row>
    <row r="10" spans="1:18" ht="12.75">
      <c r="A10" s="331"/>
      <c r="B10" s="332"/>
      <c r="C10" s="316"/>
      <c r="D10" s="316"/>
      <c r="E10" s="316"/>
      <c r="F10" s="316"/>
      <c r="G10" s="316"/>
      <c r="H10" s="316"/>
      <c r="I10" s="316"/>
      <c r="J10" s="327"/>
      <c r="K10" s="319"/>
      <c r="L10" s="320"/>
      <c r="M10" s="320"/>
      <c r="N10" s="316"/>
      <c r="O10" s="316"/>
      <c r="P10" s="314"/>
      <c r="Q10" s="320"/>
      <c r="R10" s="320"/>
    </row>
    <row r="11" spans="1:18" ht="45" customHeight="1">
      <c r="A11" s="333"/>
      <c r="B11" s="334"/>
      <c r="C11" s="317"/>
      <c r="D11" s="318"/>
      <c r="E11" s="318"/>
      <c r="F11" s="317"/>
      <c r="G11" s="317"/>
      <c r="H11" s="317"/>
      <c r="I11" s="317"/>
      <c r="J11" s="328"/>
      <c r="K11" s="319"/>
      <c r="L11" s="321"/>
      <c r="M11" s="321"/>
      <c r="N11" s="317"/>
      <c r="O11" s="317"/>
      <c r="P11" s="314"/>
      <c r="Q11" s="320"/>
      <c r="R11" s="320"/>
    </row>
    <row r="12" spans="1:18" ht="12.75">
      <c r="A12" s="335" t="s">
        <v>40</v>
      </c>
      <c r="B12" s="336"/>
      <c r="C12" s="69">
        <v>1</v>
      </c>
      <c r="D12" s="69">
        <v>2</v>
      </c>
      <c r="E12" s="69">
        <v>3</v>
      </c>
      <c r="F12" s="69">
        <v>4</v>
      </c>
      <c r="G12" s="69">
        <v>5</v>
      </c>
      <c r="H12" s="69">
        <v>6</v>
      </c>
      <c r="I12" s="69">
        <v>7</v>
      </c>
      <c r="J12" s="69">
        <v>8</v>
      </c>
      <c r="K12" s="134">
        <v>9</v>
      </c>
      <c r="L12" s="69">
        <v>10</v>
      </c>
      <c r="M12" s="69">
        <v>11</v>
      </c>
      <c r="N12" s="69">
        <v>12</v>
      </c>
      <c r="O12" s="69">
        <v>13</v>
      </c>
      <c r="P12" s="69">
        <v>14</v>
      </c>
      <c r="Q12" s="69">
        <v>15</v>
      </c>
      <c r="R12" s="69">
        <v>16</v>
      </c>
    </row>
    <row r="13" spans="1:18" ht="26.25" customHeight="1">
      <c r="A13" s="324" t="s">
        <v>97</v>
      </c>
      <c r="B13" s="325"/>
      <c r="C13" s="219">
        <f aca="true" t="shared" si="0" ref="C13:R13">C14+C35</f>
        <v>535</v>
      </c>
      <c r="D13" s="219">
        <f t="shared" si="0"/>
        <v>6</v>
      </c>
      <c r="E13" s="219">
        <f t="shared" si="0"/>
        <v>1</v>
      </c>
      <c r="F13" s="219">
        <f t="shared" si="0"/>
        <v>0</v>
      </c>
      <c r="G13" s="219">
        <f t="shared" si="0"/>
        <v>30</v>
      </c>
      <c r="H13" s="219">
        <f t="shared" si="0"/>
        <v>18</v>
      </c>
      <c r="I13" s="219">
        <f t="shared" si="0"/>
        <v>480</v>
      </c>
      <c r="J13" s="219">
        <f t="shared" si="0"/>
        <v>535</v>
      </c>
      <c r="K13" s="219">
        <f t="shared" si="0"/>
        <v>31834</v>
      </c>
      <c r="L13" s="219">
        <f t="shared" si="0"/>
        <v>26165</v>
      </c>
      <c r="M13" s="219">
        <f t="shared" si="0"/>
        <v>3904</v>
      </c>
      <c r="N13" s="219">
        <f t="shared" si="0"/>
        <v>1765</v>
      </c>
      <c r="O13" s="219">
        <f t="shared" si="0"/>
        <v>100</v>
      </c>
      <c r="P13" s="219">
        <f t="shared" si="0"/>
        <v>5274</v>
      </c>
      <c r="Q13" s="219">
        <f t="shared" si="0"/>
        <v>2946</v>
      </c>
      <c r="R13" s="219">
        <f t="shared" si="0"/>
        <v>2328</v>
      </c>
    </row>
    <row r="14" spans="1:18" ht="39" customHeight="1">
      <c r="A14" s="324" t="s">
        <v>87</v>
      </c>
      <c r="B14" s="325"/>
      <c r="C14" s="220">
        <f aca="true" t="shared" si="1" ref="C14:R14">SUM(C15:C34)</f>
        <v>535</v>
      </c>
      <c r="D14" s="220">
        <f t="shared" si="1"/>
        <v>6</v>
      </c>
      <c r="E14" s="220">
        <f t="shared" si="1"/>
        <v>1</v>
      </c>
      <c r="F14" s="220">
        <f t="shared" si="1"/>
        <v>0</v>
      </c>
      <c r="G14" s="220">
        <f t="shared" si="1"/>
        <v>30</v>
      </c>
      <c r="H14" s="220">
        <f t="shared" si="1"/>
        <v>18</v>
      </c>
      <c r="I14" s="220">
        <f t="shared" si="1"/>
        <v>480</v>
      </c>
      <c r="J14" s="220">
        <f t="shared" si="1"/>
        <v>535</v>
      </c>
      <c r="K14" s="220">
        <f t="shared" si="1"/>
        <v>0</v>
      </c>
      <c r="L14" s="220">
        <f t="shared" si="1"/>
        <v>0</v>
      </c>
      <c r="M14" s="220">
        <f t="shared" si="1"/>
        <v>0</v>
      </c>
      <c r="N14" s="220">
        <f t="shared" si="1"/>
        <v>0</v>
      </c>
      <c r="O14" s="220">
        <f t="shared" si="1"/>
        <v>0</v>
      </c>
      <c r="P14" s="220">
        <f t="shared" si="1"/>
        <v>0</v>
      </c>
      <c r="Q14" s="220">
        <f t="shared" si="1"/>
        <v>0</v>
      </c>
      <c r="R14" s="220">
        <f t="shared" si="1"/>
        <v>0</v>
      </c>
    </row>
    <row r="15" spans="1:18" ht="15.75">
      <c r="A15" s="227">
        <v>1</v>
      </c>
      <c r="B15" s="228" t="s">
        <v>239</v>
      </c>
      <c r="C15" s="247">
        <f>SUM(D15:I15)</f>
        <v>53</v>
      </c>
      <c r="D15" s="139">
        <v>0</v>
      </c>
      <c r="E15" s="109">
        <v>0</v>
      </c>
      <c r="F15" s="139">
        <v>0</v>
      </c>
      <c r="G15" s="139">
        <v>5</v>
      </c>
      <c r="H15" s="139">
        <v>0</v>
      </c>
      <c r="I15" s="109">
        <f>(38+10)</f>
        <v>48</v>
      </c>
      <c r="J15" s="139">
        <v>35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</row>
    <row r="16" spans="1:18" ht="25.5">
      <c r="A16" s="227">
        <v>2</v>
      </c>
      <c r="B16" s="228" t="s">
        <v>202</v>
      </c>
      <c r="C16" s="247">
        <f>SUM(D16:I16)</f>
        <v>25</v>
      </c>
      <c r="D16" s="139">
        <v>0</v>
      </c>
      <c r="E16" s="109">
        <v>0</v>
      </c>
      <c r="F16" s="139">
        <v>0</v>
      </c>
      <c r="G16" s="139">
        <v>8</v>
      </c>
      <c r="H16" s="139">
        <v>2</v>
      </c>
      <c r="I16" s="109">
        <v>15</v>
      </c>
      <c r="J16" s="139">
        <v>20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</row>
    <row r="17" spans="1:18" ht="25.5">
      <c r="A17" s="227">
        <v>3</v>
      </c>
      <c r="B17" s="228" t="s">
        <v>203</v>
      </c>
      <c r="C17" s="247"/>
      <c r="D17" s="139"/>
      <c r="E17" s="109"/>
      <c r="F17" s="139"/>
      <c r="G17" s="139"/>
      <c r="H17" s="139"/>
      <c r="I17" s="109"/>
      <c r="J17" s="139"/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</row>
    <row r="18" spans="1:18" ht="25.5">
      <c r="A18" s="227">
        <v>4</v>
      </c>
      <c r="B18" s="228" t="s">
        <v>204</v>
      </c>
      <c r="C18" s="247">
        <f>SUM(D18:I18)</f>
        <v>35</v>
      </c>
      <c r="D18" s="148" t="s">
        <v>290</v>
      </c>
      <c r="E18" s="148" t="s">
        <v>290</v>
      </c>
      <c r="F18" s="148" t="s">
        <v>290</v>
      </c>
      <c r="G18" s="139">
        <v>1</v>
      </c>
      <c r="H18" s="139">
        <v>1</v>
      </c>
      <c r="I18" s="109">
        <v>33</v>
      </c>
      <c r="J18" s="139">
        <v>27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</row>
    <row r="19" spans="1:18" ht="25.5">
      <c r="A19" s="227">
        <v>5</v>
      </c>
      <c r="B19" s="228" t="s">
        <v>205</v>
      </c>
      <c r="C19" s="247"/>
      <c r="D19" s="139"/>
      <c r="E19" s="109"/>
      <c r="F19" s="139"/>
      <c r="G19" s="139"/>
      <c r="H19" s="139"/>
      <c r="I19" s="109"/>
      <c r="J19" s="139"/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  <c r="Q19" s="126">
        <v>0</v>
      </c>
      <c r="R19" s="126">
        <v>0</v>
      </c>
    </row>
    <row r="20" spans="1:18" ht="25.5">
      <c r="A20" s="227">
        <v>6</v>
      </c>
      <c r="B20" s="228" t="s">
        <v>206</v>
      </c>
      <c r="C20" s="247"/>
      <c r="D20" s="139"/>
      <c r="E20" s="109"/>
      <c r="F20" s="139"/>
      <c r="G20" s="139"/>
      <c r="H20" s="139"/>
      <c r="I20" s="109"/>
      <c r="J20" s="139"/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  <c r="R20" s="126">
        <v>0</v>
      </c>
    </row>
    <row r="21" spans="1:18" ht="38.25">
      <c r="A21" s="227">
        <v>7</v>
      </c>
      <c r="B21" s="228" t="s">
        <v>207</v>
      </c>
      <c r="C21" s="247">
        <f>SUM(D21:I21)</f>
        <v>31</v>
      </c>
      <c r="D21" s="139">
        <v>0</v>
      </c>
      <c r="E21" s="109">
        <v>0</v>
      </c>
      <c r="F21" s="139">
        <v>0</v>
      </c>
      <c r="G21" s="139">
        <v>0</v>
      </c>
      <c r="H21" s="139">
        <v>0</v>
      </c>
      <c r="I21" s="109">
        <f>20+11</f>
        <v>31</v>
      </c>
      <c r="J21" s="139">
        <v>31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0</v>
      </c>
      <c r="Q21" s="126">
        <v>0</v>
      </c>
      <c r="R21" s="126">
        <v>0</v>
      </c>
    </row>
    <row r="22" spans="1:18" ht="15.75">
      <c r="A22" s="227">
        <v>8</v>
      </c>
      <c r="B22" s="228" t="s">
        <v>208</v>
      </c>
      <c r="C22" s="247"/>
      <c r="D22" s="139"/>
      <c r="E22" s="109"/>
      <c r="F22" s="139"/>
      <c r="G22" s="139"/>
      <c r="H22" s="139"/>
      <c r="I22" s="109"/>
      <c r="J22" s="139"/>
      <c r="K22" s="126">
        <v>0</v>
      </c>
      <c r="L22" s="126">
        <v>0</v>
      </c>
      <c r="M22" s="126">
        <v>0</v>
      </c>
      <c r="N22" s="126">
        <v>0</v>
      </c>
      <c r="O22" s="126">
        <v>0</v>
      </c>
      <c r="P22" s="126">
        <v>0</v>
      </c>
      <c r="Q22" s="126">
        <v>0</v>
      </c>
      <c r="R22" s="126">
        <v>0</v>
      </c>
    </row>
    <row r="23" spans="1:18" ht="15.75">
      <c r="A23" s="227">
        <v>9</v>
      </c>
      <c r="B23" s="228" t="s">
        <v>209</v>
      </c>
      <c r="C23" s="247">
        <f>SUM(D23:I23)</f>
        <v>11</v>
      </c>
      <c r="D23" s="139">
        <v>2</v>
      </c>
      <c r="E23" s="109">
        <v>0</v>
      </c>
      <c r="F23" s="139">
        <v>0</v>
      </c>
      <c r="G23" s="139">
        <v>4</v>
      </c>
      <c r="H23" s="139">
        <v>0</v>
      </c>
      <c r="I23" s="109">
        <v>5</v>
      </c>
      <c r="J23" s="139">
        <v>10</v>
      </c>
      <c r="K23" s="126">
        <v>0</v>
      </c>
      <c r="L23" s="126">
        <v>0</v>
      </c>
      <c r="M23" s="126">
        <v>0</v>
      </c>
      <c r="N23" s="126">
        <v>0</v>
      </c>
      <c r="O23" s="126">
        <v>0</v>
      </c>
      <c r="P23" s="126">
        <v>0</v>
      </c>
      <c r="Q23" s="126">
        <v>0</v>
      </c>
      <c r="R23" s="126">
        <v>0</v>
      </c>
    </row>
    <row r="24" spans="1:18" ht="51">
      <c r="A24" s="227">
        <v>10</v>
      </c>
      <c r="B24" s="228" t="s">
        <v>210</v>
      </c>
      <c r="C24" s="247">
        <f>SUM(D24:I24)</f>
        <v>45</v>
      </c>
      <c r="D24" s="148" t="s">
        <v>290</v>
      </c>
      <c r="E24" s="148" t="s">
        <v>290</v>
      </c>
      <c r="F24" s="148" t="s">
        <v>290</v>
      </c>
      <c r="G24" s="139">
        <v>1</v>
      </c>
      <c r="H24" s="139">
        <v>3</v>
      </c>
      <c r="I24" s="109">
        <v>41</v>
      </c>
      <c r="J24" s="139">
        <v>40</v>
      </c>
      <c r="K24" s="126">
        <v>0</v>
      </c>
      <c r="L24" s="126">
        <v>0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</row>
    <row r="25" spans="1:18" ht="25.5">
      <c r="A25" s="227">
        <v>11</v>
      </c>
      <c r="B25" s="228" t="s">
        <v>240</v>
      </c>
      <c r="C25" s="247">
        <f>SUM(D25:I25)</f>
        <v>150</v>
      </c>
      <c r="D25" s="139">
        <v>1</v>
      </c>
      <c r="E25" s="109">
        <v>1</v>
      </c>
      <c r="F25" s="139">
        <v>0</v>
      </c>
      <c r="G25" s="139">
        <v>1</v>
      </c>
      <c r="H25" s="139">
        <v>5</v>
      </c>
      <c r="I25" s="109">
        <f>135+7</f>
        <v>142</v>
      </c>
      <c r="J25" s="139">
        <v>142</v>
      </c>
      <c r="K25" s="126">
        <v>0</v>
      </c>
      <c r="L25" s="126">
        <v>0</v>
      </c>
      <c r="M25" s="126">
        <v>0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</row>
    <row r="26" spans="1:18" ht="15.75">
      <c r="A26" s="227">
        <v>12</v>
      </c>
      <c r="B26" s="228" t="s">
        <v>192</v>
      </c>
      <c r="C26" s="247">
        <f>SUM(D26:I26)</f>
        <v>114</v>
      </c>
      <c r="D26" s="139">
        <v>0</v>
      </c>
      <c r="E26" s="109">
        <v>0</v>
      </c>
      <c r="F26" s="139">
        <v>0</v>
      </c>
      <c r="G26" s="139">
        <v>4</v>
      </c>
      <c r="H26" s="139">
        <v>6</v>
      </c>
      <c r="I26" s="109">
        <v>104</v>
      </c>
      <c r="J26" s="139">
        <v>104</v>
      </c>
      <c r="K26" s="126">
        <v>0</v>
      </c>
      <c r="L26" s="126">
        <v>0</v>
      </c>
      <c r="M26" s="126">
        <v>0</v>
      </c>
      <c r="N26" s="126">
        <v>0</v>
      </c>
      <c r="O26" s="126">
        <v>0</v>
      </c>
      <c r="P26" s="126">
        <v>0</v>
      </c>
      <c r="Q26" s="126">
        <v>0</v>
      </c>
      <c r="R26" s="126">
        <v>0</v>
      </c>
    </row>
    <row r="27" spans="1:18" ht="25.5">
      <c r="A27" s="227">
        <v>13</v>
      </c>
      <c r="B27" s="228" t="s">
        <v>193</v>
      </c>
      <c r="C27" s="247"/>
      <c r="D27" s="139"/>
      <c r="E27" s="109"/>
      <c r="F27" s="139"/>
      <c r="G27" s="139"/>
      <c r="H27" s="139"/>
      <c r="I27" s="109"/>
      <c r="J27" s="139"/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26">
        <v>0</v>
      </c>
      <c r="R27" s="126">
        <v>0</v>
      </c>
    </row>
    <row r="28" spans="1:18" ht="38.25">
      <c r="A28" s="227">
        <v>14</v>
      </c>
      <c r="B28" s="228" t="s">
        <v>194</v>
      </c>
      <c r="C28" s="247"/>
      <c r="D28" s="139"/>
      <c r="E28" s="109"/>
      <c r="F28" s="139"/>
      <c r="G28" s="139"/>
      <c r="H28" s="139"/>
      <c r="I28" s="109"/>
      <c r="J28" s="139"/>
      <c r="K28" s="126">
        <v>0</v>
      </c>
      <c r="L28" s="126">
        <v>0</v>
      </c>
      <c r="M28" s="126">
        <v>0</v>
      </c>
      <c r="N28" s="126">
        <v>0</v>
      </c>
      <c r="O28" s="126">
        <v>0</v>
      </c>
      <c r="P28" s="126">
        <v>0</v>
      </c>
      <c r="Q28" s="126">
        <v>0</v>
      </c>
      <c r="R28" s="126">
        <v>0</v>
      </c>
    </row>
    <row r="29" spans="1:18" ht="38.25">
      <c r="A29" s="227">
        <v>15</v>
      </c>
      <c r="B29" s="228" t="s">
        <v>195</v>
      </c>
      <c r="C29" s="247">
        <f>SUM(D29:I29)</f>
        <v>23</v>
      </c>
      <c r="D29" s="139">
        <v>0</v>
      </c>
      <c r="E29" s="109">
        <v>0</v>
      </c>
      <c r="F29" s="139">
        <v>0</v>
      </c>
      <c r="G29" s="139">
        <v>0</v>
      </c>
      <c r="H29" s="139">
        <v>0</v>
      </c>
      <c r="I29" s="109">
        <f>19+4</f>
        <v>23</v>
      </c>
      <c r="J29" s="139">
        <v>18</v>
      </c>
      <c r="K29" s="126">
        <v>0</v>
      </c>
      <c r="L29" s="126">
        <v>0</v>
      </c>
      <c r="M29" s="126">
        <v>0</v>
      </c>
      <c r="N29" s="126">
        <v>0</v>
      </c>
      <c r="O29" s="126">
        <v>0</v>
      </c>
      <c r="P29" s="126">
        <v>0</v>
      </c>
      <c r="Q29" s="126">
        <v>0</v>
      </c>
      <c r="R29" s="126">
        <v>0</v>
      </c>
    </row>
    <row r="30" spans="1:18" ht="15.75">
      <c r="A30" s="227">
        <v>16</v>
      </c>
      <c r="B30" s="228" t="s">
        <v>196</v>
      </c>
      <c r="C30" s="247"/>
      <c r="D30" s="139"/>
      <c r="E30" s="109"/>
      <c r="F30" s="139"/>
      <c r="G30" s="139"/>
      <c r="H30" s="139"/>
      <c r="I30" s="109"/>
      <c r="J30" s="139"/>
      <c r="K30" s="126">
        <v>0</v>
      </c>
      <c r="L30" s="126">
        <v>0</v>
      </c>
      <c r="M30" s="126">
        <v>0</v>
      </c>
      <c r="N30" s="126">
        <v>0</v>
      </c>
      <c r="O30" s="126">
        <v>0</v>
      </c>
      <c r="P30" s="126">
        <v>0</v>
      </c>
      <c r="Q30" s="126">
        <v>0</v>
      </c>
      <c r="R30" s="126">
        <v>0</v>
      </c>
    </row>
    <row r="31" spans="1:18" ht="15.75">
      <c r="A31" s="227">
        <v>17</v>
      </c>
      <c r="B31" s="228" t="s">
        <v>238</v>
      </c>
      <c r="C31" s="247">
        <f>SUM(D31:I31)</f>
        <v>4</v>
      </c>
      <c r="D31" s="139">
        <v>0</v>
      </c>
      <c r="E31" s="109">
        <v>0</v>
      </c>
      <c r="F31" s="139">
        <v>0</v>
      </c>
      <c r="G31" s="139">
        <v>0</v>
      </c>
      <c r="H31" s="139">
        <v>0</v>
      </c>
      <c r="I31" s="109">
        <f>(2+2)</f>
        <v>4</v>
      </c>
      <c r="J31" s="139">
        <v>23</v>
      </c>
      <c r="K31" s="126">
        <v>0</v>
      </c>
      <c r="L31" s="126">
        <v>0</v>
      </c>
      <c r="M31" s="126">
        <v>0</v>
      </c>
      <c r="N31" s="126">
        <v>0</v>
      </c>
      <c r="O31" s="126">
        <v>0</v>
      </c>
      <c r="P31" s="126">
        <v>0</v>
      </c>
      <c r="Q31" s="126">
        <v>0</v>
      </c>
      <c r="R31" s="126">
        <v>0</v>
      </c>
    </row>
    <row r="32" spans="1:18" ht="38.25">
      <c r="A32" s="227">
        <v>18</v>
      </c>
      <c r="B32" s="229" t="s">
        <v>197</v>
      </c>
      <c r="C32" s="247">
        <f>SUM(D32:I32)</f>
        <v>25</v>
      </c>
      <c r="D32" s="139">
        <v>0</v>
      </c>
      <c r="E32" s="109">
        <v>0</v>
      </c>
      <c r="F32" s="139">
        <v>0</v>
      </c>
      <c r="G32" s="139">
        <v>2</v>
      </c>
      <c r="H32" s="139">
        <v>0</v>
      </c>
      <c r="I32" s="109">
        <f>23+0</f>
        <v>23</v>
      </c>
      <c r="J32" s="139">
        <v>74</v>
      </c>
      <c r="K32" s="126">
        <v>0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126">
        <v>0</v>
      </c>
    </row>
    <row r="33" spans="1:18" ht="25.5">
      <c r="A33" s="227">
        <v>19</v>
      </c>
      <c r="B33" s="229" t="s">
        <v>198</v>
      </c>
      <c r="C33" s="247">
        <f>SUM(D33:I33)</f>
        <v>19</v>
      </c>
      <c r="D33" s="139">
        <v>3</v>
      </c>
      <c r="E33" s="109">
        <v>0</v>
      </c>
      <c r="F33" s="139">
        <v>0</v>
      </c>
      <c r="G33" s="139">
        <v>4</v>
      </c>
      <c r="H33" s="139">
        <v>1</v>
      </c>
      <c r="I33" s="109">
        <f>7+4</f>
        <v>11</v>
      </c>
      <c r="J33" s="139">
        <v>11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</row>
    <row r="34" spans="1:18" ht="25.5">
      <c r="A34" s="227">
        <v>20</v>
      </c>
      <c r="B34" s="229" t="s">
        <v>301</v>
      </c>
      <c r="C34" s="247"/>
      <c r="D34" s="139"/>
      <c r="E34" s="109"/>
      <c r="F34" s="139"/>
      <c r="G34" s="139"/>
      <c r="H34" s="139"/>
      <c r="I34" s="109"/>
      <c r="J34" s="139"/>
      <c r="K34" s="126"/>
      <c r="L34" s="126"/>
      <c r="M34" s="126"/>
      <c r="N34" s="126"/>
      <c r="O34" s="126"/>
      <c r="P34" s="126"/>
      <c r="Q34" s="126"/>
      <c r="R34" s="126"/>
    </row>
    <row r="35" spans="1:19" s="10" customFormat="1" ht="30" customHeight="1">
      <c r="A35" s="324" t="s">
        <v>98</v>
      </c>
      <c r="B35" s="325"/>
      <c r="C35" s="220">
        <f aca="true" t="shared" si="2" ref="C35:R35">SUM(C36:C98)</f>
        <v>0</v>
      </c>
      <c r="D35" s="220">
        <f t="shared" si="2"/>
        <v>0</v>
      </c>
      <c r="E35" s="220">
        <f t="shared" si="2"/>
        <v>0</v>
      </c>
      <c r="F35" s="220">
        <f t="shared" si="2"/>
        <v>0</v>
      </c>
      <c r="G35" s="220">
        <f t="shared" si="2"/>
        <v>0</v>
      </c>
      <c r="H35" s="220">
        <f t="shared" si="2"/>
        <v>0</v>
      </c>
      <c r="I35" s="220">
        <f t="shared" si="2"/>
        <v>0</v>
      </c>
      <c r="J35" s="220">
        <f t="shared" si="2"/>
        <v>0</v>
      </c>
      <c r="K35" s="220">
        <f t="shared" si="2"/>
        <v>31834</v>
      </c>
      <c r="L35" s="220">
        <f t="shared" si="2"/>
        <v>26165</v>
      </c>
      <c r="M35" s="220">
        <f t="shared" si="2"/>
        <v>3904</v>
      </c>
      <c r="N35" s="220">
        <f t="shared" si="2"/>
        <v>1765</v>
      </c>
      <c r="O35" s="220">
        <f t="shared" si="2"/>
        <v>100</v>
      </c>
      <c r="P35" s="220">
        <f t="shared" si="2"/>
        <v>5274</v>
      </c>
      <c r="Q35" s="220">
        <f t="shared" si="2"/>
        <v>2946</v>
      </c>
      <c r="R35" s="220">
        <f t="shared" si="2"/>
        <v>2328</v>
      </c>
      <c r="S35" s="9"/>
    </row>
    <row r="36" spans="1:19" s="10" customFormat="1" ht="15.75">
      <c r="A36" s="154">
        <v>1</v>
      </c>
      <c r="B36" s="155" t="s">
        <v>175</v>
      </c>
      <c r="C36" s="126">
        <v>0</v>
      </c>
      <c r="D36" s="126">
        <v>0</v>
      </c>
      <c r="E36" s="126">
        <v>0</v>
      </c>
      <c r="F36" s="126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f aca="true" t="shared" si="3" ref="K36:K98">L36+M36+N36</f>
        <v>1320</v>
      </c>
      <c r="L36" s="140">
        <v>1192</v>
      </c>
      <c r="M36" s="140">
        <v>89</v>
      </c>
      <c r="N36" s="140">
        <v>39</v>
      </c>
      <c r="O36" s="140">
        <v>6</v>
      </c>
      <c r="P36" s="126">
        <f aca="true" t="shared" si="4" ref="P36:P98">Q36+R36</f>
        <v>81</v>
      </c>
      <c r="Q36" s="140">
        <v>39</v>
      </c>
      <c r="R36" s="140">
        <v>42</v>
      </c>
      <c r="S36" s="9"/>
    </row>
    <row r="37" spans="1:19" s="10" customFormat="1" ht="30.75" customHeight="1">
      <c r="A37" s="154">
        <v>2</v>
      </c>
      <c r="B37" s="155" t="s">
        <v>263</v>
      </c>
      <c r="C37" s="126">
        <v>0</v>
      </c>
      <c r="D37" s="126">
        <v>0</v>
      </c>
      <c r="E37" s="126">
        <v>0</v>
      </c>
      <c r="F37" s="126"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f t="shared" si="3"/>
        <v>82</v>
      </c>
      <c r="L37" s="140">
        <v>53</v>
      </c>
      <c r="M37" s="140">
        <v>29</v>
      </c>
      <c r="N37" s="140">
        <v>0</v>
      </c>
      <c r="O37" s="140">
        <v>0</v>
      </c>
      <c r="P37" s="126">
        <f t="shared" si="4"/>
        <v>59</v>
      </c>
      <c r="Q37" s="140">
        <v>24</v>
      </c>
      <c r="R37" s="140">
        <v>35</v>
      </c>
      <c r="S37" s="9"/>
    </row>
    <row r="38" spans="1:19" s="10" customFormat="1" ht="18" customHeight="1">
      <c r="A38" s="154">
        <v>3</v>
      </c>
      <c r="B38" s="155" t="s">
        <v>176</v>
      </c>
      <c r="C38" s="126">
        <v>0</v>
      </c>
      <c r="D38" s="126">
        <v>0</v>
      </c>
      <c r="E38" s="126">
        <v>0</v>
      </c>
      <c r="F38" s="126">
        <v>0</v>
      </c>
      <c r="G38" s="126">
        <v>0</v>
      </c>
      <c r="H38" s="126">
        <v>0</v>
      </c>
      <c r="I38" s="126">
        <v>0</v>
      </c>
      <c r="J38" s="126">
        <v>0</v>
      </c>
      <c r="K38" s="126">
        <f t="shared" si="3"/>
        <v>278</v>
      </c>
      <c r="L38" s="140">
        <v>188</v>
      </c>
      <c r="M38" s="140">
        <v>66</v>
      </c>
      <c r="N38" s="140">
        <v>24</v>
      </c>
      <c r="O38" s="140">
        <v>4</v>
      </c>
      <c r="P38" s="126">
        <f t="shared" si="4"/>
        <v>56</v>
      </c>
      <c r="Q38" s="140">
        <v>26</v>
      </c>
      <c r="R38" s="140">
        <v>30</v>
      </c>
      <c r="S38" s="9"/>
    </row>
    <row r="39" spans="1:19" s="10" customFormat="1" ht="18" customHeight="1">
      <c r="A39" s="154">
        <v>4</v>
      </c>
      <c r="B39" s="155" t="s">
        <v>177</v>
      </c>
      <c r="C39" s="126">
        <v>0</v>
      </c>
      <c r="D39" s="126">
        <v>0</v>
      </c>
      <c r="E39" s="126">
        <v>0</v>
      </c>
      <c r="F39" s="126">
        <v>0</v>
      </c>
      <c r="G39" s="126">
        <v>0</v>
      </c>
      <c r="H39" s="126">
        <v>0</v>
      </c>
      <c r="I39" s="126">
        <v>0</v>
      </c>
      <c r="J39" s="126">
        <v>0</v>
      </c>
      <c r="K39" s="126">
        <f t="shared" si="3"/>
        <v>263</v>
      </c>
      <c r="L39" s="140">
        <v>221</v>
      </c>
      <c r="M39" s="140">
        <v>15</v>
      </c>
      <c r="N39" s="140">
        <v>27</v>
      </c>
      <c r="O39" s="140">
        <v>5</v>
      </c>
      <c r="P39" s="126">
        <f t="shared" si="4"/>
        <v>55</v>
      </c>
      <c r="Q39" s="140">
        <v>18</v>
      </c>
      <c r="R39" s="140">
        <v>37</v>
      </c>
      <c r="S39" s="9"/>
    </row>
    <row r="40" spans="1:19" s="10" customFormat="1" ht="18" customHeight="1">
      <c r="A40" s="154">
        <v>5</v>
      </c>
      <c r="B40" s="155" t="s">
        <v>178</v>
      </c>
      <c r="C40" s="126">
        <v>0</v>
      </c>
      <c r="D40" s="126">
        <v>0</v>
      </c>
      <c r="E40" s="126">
        <v>0</v>
      </c>
      <c r="F40" s="126">
        <v>0</v>
      </c>
      <c r="G40" s="126">
        <v>0</v>
      </c>
      <c r="H40" s="126">
        <v>0</v>
      </c>
      <c r="I40" s="126">
        <v>0</v>
      </c>
      <c r="J40" s="126">
        <v>0</v>
      </c>
      <c r="K40" s="126">
        <f t="shared" si="3"/>
        <v>147</v>
      </c>
      <c r="L40" s="140">
        <v>130</v>
      </c>
      <c r="M40" s="140">
        <v>16</v>
      </c>
      <c r="N40" s="140">
        <v>1</v>
      </c>
      <c r="O40" s="140">
        <v>1</v>
      </c>
      <c r="P40" s="126">
        <f t="shared" si="4"/>
        <v>52</v>
      </c>
      <c r="Q40" s="140">
        <v>41</v>
      </c>
      <c r="R40" s="140">
        <v>11</v>
      </c>
      <c r="S40" s="9"/>
    </row>
    <row r="41" spans="1:19" s="10" customFormat="1" ht="18" customHeight="1">
      <c r="A41" s="154">
        <v>6</v>
      </c>
      <c r="B41" s="155" t="s">
        <v>179</v>
      </c>
      <c r="C41" s="126">
        <v>0</v>
      </c>
      <c r="D41" s="126">
        <v>0</v>
      </c>
      <c r="E41" s="126">
        <v>0</v>
      </c>
      <c r="F41" s="126">
        <v>0</v>
      </c>
      <c r="G41" s="126">
        <v>0</v>
      </c>
      <c r="H41" s="126">
        <v>0</v>
      </c>
      <c r="I41" s="126">
        <v>0</v>
      </c>
      <c r="J41" s="126">
        <v>0</v>
      </c>
      <c r="K41" s="126">
        <f t="shared" si="3"/>
        <v>48</v>
      </c>
      <c r="L41" s="141">
        <v>19</v>
      </c>
      <c r="M41" s="141">
        <v>15</v>
      </c>
      <c r="N41" s="141">
        <v>14</v>
      </c>
      <c r="O41" s="141">
        <v>2</v>
      </c>
      <c r="P41" s="126">
        <f t="shared" si="4"/>
        <v>45</v>
      </c>
      <c r="Q41" s="141">
        <v>9</v>
      </c>
      <c r="R41" s="141">
        <v>36</v>
      </c>
      <c r="S41" s="9"/>
    </row>
    <row r="42" spans="1:19" s="10" customFormat="1" ht="18" customHeight="1">
      <c r="A42" s="154">
        <v>7</v>
      </c>
      <c r="B42" s="155" t="s">
        <v>180</v>
      </c>
      <c r="C42" s="126">
        <v>0</v>
      </c>
      <c r="D42" s="126">
        <v>0</v>
      </c>
      <c r="E42" s="126">
        <v>0</v>
      </c>
      <c r="F42" s="126">
        <v>0</v>
      </c>
      <c r="G42" s="126">
        <v>0</v>
      </c>
      <c r="H42" s="126">
        <v>0</v>
      </c>
      <c r="I42" s="126">
        <v>0</v>
      </c>
      <c r="J42" s="126">
        <v>0</v>
      </c>
      <c r="K42" s="126">
        <f t="shared" si="3"/>
        <v>597</v>
      </c>
      <c r="L42" s="141">
        <v>505</v>
      </c>
      <c r="M42" s="141">
        <v>59</v>
      </c>
      <c r="N42" s="141">
        <v>33</v>
      </c>
      <c r="O42" s="141">
        <v>0</v>
      </c>
      <c r="P42" s="126">
        <f t="shared" si="4"/>
        <v>48</v>
      </c>
      <c r="Q42" s="141">
        <v>7</v>
      </c>
      <c r="R42" s="141">
        <v>41</v>
      </c>
      <c r="S42" s="9"/>
    </row>
    <row r="43" spans="1:19" s="10" customFormat="1" ht="18" customHeight="1">
      <c r="A43" s="154">
        <v>8</v>
      </c>
      <c r="B43" s="155" t="s">
        <v>181</v>
      </c>
      <c r="C43" s="126">
        <v>0</v>
      </c>
      <c r="D43" s="126">
        <v>0</v>
      </c>
      <c r="E43" s="126">
        <v>0</v>
      </c>
      <c r="F43" s="126">
        <v>0</v>
      </c>
      <c r="G43" s="126">
        <v>0</v>
      </c>
      <c r="H43" s="126">
        <v>0</v>
      </c>
      <c r="I43" s="126">
        <v>0</v>
      </c>
      <c r="J43" s="126">
        <v>0</v>
      </c>
      <c r="K43" s="126">
        <f t="shared" si="3"/>
        <v>456</v>
      </c>
      <c r="L43" s="141">
        <v>403</v>
      </c>
      <c r="M43" s="141">
        <v>52</v>
      </c>
      <c r="N43" s="141">
        <v>1</v>
      </c>
      <c r="O43" s="141">
        <v>1</v>
      </c>
      <c r="P43" s="126">
        <f t="shared" si="4"/>
        <v>42</v>
      </c>
      <c r="Q43" s="141">
        <v>11</v>
      </c>
      <c r="R43" s="141">
        <v>31</v>
      </c>
      <c r="S43" s="9"/>
    </row>
    <row r="44" spans="1:19" s="10" customFormat="1" ht="18" customHeight="1">
      <c r="A44" s="154">
        <v>9</v>
      </c>
      <c r="B44" s="155" t="s">
        <v>182</v>
      </c>
      <c r="C44" s="126">
        <v>0</v>
      </c>
      <c r="D44" s="126">
        <v>0</v>
      </c>
      <c r="E44" s="126">
        <v>0</v>
      </c>
      <c r="F44" s="126">
        <v>0</v>
      </c>
      <c r="G44" s="126">
        <v>0</v>
      </c>
      <c r="H44" s="126">
        <v>0</v>
      </c>
      <c r="I44" s="126">
        <v>0</v>
      </c>
      <c r="J44" s="126">
        <v>0</v>
      </c>
      <c r="K44" s="126">
        <f t="shared" si="3"/>
        <v>192</v>
      </c>
      <c r="L44" s="141">
        <v>146</v>
      </c>
      <c r="M44" s="141">
        <v>44</v>
      </c>
      <c r="N44" s="141">
        <v>2</v>
      </c>
      <c r="O44" s="141">
        <v>2</v>
      </c>
      <c r="P44" s="126">
        <f t="shared" si="4"/>
        <v>81</v>
      </c>
      <c r="Q44" s="141">
        <v>31</v>
      </c>
      <c r="R44" s="141">
        <v>50</v>
      </c>
      <c r="S44" s="9"/>
    </row>
    <row r="45" spans="1:19" s="10" customFormat="1" ht="18" customHeight="1">
      <c r="A45" s="154">
        <v>10</v>
      </c>
      <c r="B45" s="155" t="s">
        <v>183</v>
      </c>
      <c r="C45" s="126">
        <v>0</v>
      </c>
      <c r="D45" s="126">
        <v>0</v>
      </c>
      <c r="E45" s="126">
        <v>0</v>
      </c>
      <c r="F45" s="126">
        <v>0</v>
      </c>
      <c r="G45" s="126">
        <v>0</v>
      </c>
      <c r="H45" s="126">
        <v>0</v>
      </c>
      <c r="I45" s="126">
        <v>0</v>
      </c>
      <c r="J45" s="126">
        <v>0</v>
      </c>
      <c r="K45" s="126">
        <f t="shared" si="3"/>
        <v>349</v>
      </c>
      <c r="L45" s="141">
        <v>222</v>
      </c>
      <c r="M45" s="141">
        <v>68</v>
      </c>
      <c r="N45" s="141">
        <v>59</v>
      </c>
      <c r="O45" s="141">
        <v>4</v>
      </c>
      <c r="P45" s="126">
        <f t="shared" si="4"/>
        <v>105</v>
      </c>
      <c r="Q45" s="141">
        <v>63</v>
      </c>
      <c r="R45" s="141">
        <v>42</v>
      </c>
      <c r="S45" s="9"/>
    </row>
    <row r="46" spans="1:19" s="10" customFormat="1" ht="18" customHeight="1">
      <c r="A46" s="154">
        <v>11</v>
      </c>
      <c r="B46" s="155" t="s">
        <v>184</v>
      </c>
      <c r="C46" s="126">
        <v>0</v>
      </c>
      <c r="D46" s="126">
        <v>0</v>
      </c>
      <c r="E46" s="126">
        <v>0</v>
      </c>
      <c r="F46" s="126">
        <v>0</v>
      </c>
      <c r="G46" s="126">
        <v>0</v>
      </c>
      <c r="H46" s="126">
        <v>0</v>
      </c>
      <c r="I46" s="126">
        <v>0</v>
      </c>
      <c r="J46" s="126">
        <v>0</v>
      </c>
      <c r="K46" s="126">
        <f t="shared" si="3"/>
        <v>778</v>
      </c>
      <c r="L46" s="140">
        <v>684</v>
      </c>
      <c r="M46" s="140">
        <v>56</v>
      </c>
      <c r="N46" s="140">
        <v>38</v>
      </c>
      <c r="O46" s="140">
        <v>3</v>
      </c>
      <c r="P46" s="126">
        <f t="shared" si="4"/>
        <v>65</v>
      </c>
      <c r="Q46" s="140">
        <v>39</v>
      </c>
      <c r="R46" s="140">
        <v>26</v>
      </c>
      <c r="S46" s="9"/>
    </row>
    <row r="47" spans="1:19" s="10" customFormat="1" ht="18" customHeight="1">
      <c r="A47" s="154">
        <v>12</v>
      </c>
      <c r="B47" s="155" t="s">
        <v>185</v>
      </c>
      <c r="C47" s="126">
        <v>0</v>
      </c>
      <c r="D47" s="126">
        <v>0</v>
      </c>
      <c r="E47" s="126">
        <v>0</v>
      </c>
      <c r="F47" s="126">
        <v>0</v>
      </c>
      <c r="G47" s="126">
        <v>0</v>
      </c>
      <c r="H47" s="126">
        <v>0</v>
      </c>
      <c r="I47" s="126">
        <v>0</v>
      </c>
      <c r="J47" s="126">
        <v>0</v>
      </c>
      <c r="K47" s="126">
        <f t="shared" si="3"/>
        <v>223</v>
      </c>
      <c r="L47" s="140">
        <v>193</v>
      </c>
      <c r="M47" s="140">
        <v>15</v>
      </c>
      <c r="N47" s="140">
        <v>15</v>
      </c>
      <c r="O47" s="140">
        <v>2</v>
      </c>
      <c r="P47" s="126">
        <f t="shared" si="4"/>
        <v>45</v>
      </c>
      <c r="Q47" s="140">
        <v>5</v>
      </c>
      <c r="R47" s="140">
        <v>40</v>
      </c>
      <c r="S47" s="9"/>
    </row>
    <row r="48" spans="1:19" s="10" customFormat="1" ht="18" customHeight="1">
      <c r="A48" s="154">
        <v>13</v>
      </c>
      <c r="B48" s="155" t="s">
        <v>186</v>
      </c>
      <c r="C48" s="126">
        <v>0</v>
      </c>
      <c r="D48" s="126">
        <v>0</v>
      </c>
      <c r="E48" s="126">
        <v>0</v>
      </c>
      <c r="F48" s="126">
        <v>0</v>
      </c>
      <c r="G48" s="126">
        <v>0</v>
      </c>
      <c r="H48" s="126">
        <v>0</v>
      </c>
      <c r="I48" s="126">
        <v>0</v>
      </c>
      <c r="J48" s="126">
        <v>0</v>
      </c>
      <c r="K48" s="126">
        <f t="shared" si="3"/>
        <v>376</v>
      </c>
      <c r="L48" s="140">
        <v>295</v>
      </c>
      <c r="M48" s="140">
        <v>54</v>
      </c>
      <c r="N48" s="140">
        <v>27</v>
      </c>
      <c r="O48" s="140">
        <v>2</v>
      </c>
      <c r="P48" s="126">
        <f t="shared" si="4"/>
        <v>73</v>
      </c>
      <c r="Q48" s="140">
        <v>24</v>
      </c>
      <c r="R48" s="140">
        <v>49</v>
      </c>
      <c r="S48" s="9"/>
    </row>
    <row r="49" spans="1:19" s="10" customFormat="1" ht="18" customHeight="1">
      <c r="A49" s="154">
        <v>14</v>
      </c>
      <c r="B49" s="155" t="s">
        <v>187</v>
      </c>
      <c r="C49" s="126">
        <v>0</v>
      </c>
      <c r="D49" s="126">
        <v>0</v>
      </c>
      <c r="E49" s="126">
        <v>0</v>
      </c>
      <c r="F49" s="126">
        <v>0</v>
      </c>
      <c r="G49" s="126">
        <v>0</v>
      </c>
      <c r="H49" s="126">
        <v>0</v>
      </c>
      <c r="I49" s="126">
        <v>0</v>
      </c>
      <c r="J49" s="126">
        <v>0</v>
      </c>
      <c r="K49" s="126">
        <f t="shared" si="3"/>
        <v>244</v>
      </c>
      <c r="L49" s="248">
        <v>156</v>
      </c>
      <c r="M49" s="248">
        <v>78</v>
      </c>
      <c r="N49" s="248">
        <v>10</v>
      </c>
      <c r="O49" s="248">
        <v>0</v>
      </c>
      <c r="P49" s="126">
        <f t="shared" si="4"/>
        <v>714</v>
      </c>
      <c r="Q49" s="140">
        <v>693</v>
      </c>
      <c r="R49" s="140">
        <v>21</v>
      </c>
      <c r="S49" s="9"/>
    </row>
    <row r="50" spans="1:19" s="10" customFormat="1" ht="18" customHeight="1">
      <c r="A50" s="154">
        <v>15</v>
      </c>
      <c r="B50" s="155" t="s">
        <v>188</v>
      </c>
      <c r="C50" s="126">
        <v>0</v>
      </c>
      <c r="D50" s="126">
        <v>0</v>
      </c>
      <c r="E50" s="126">
        <v>0</v>
      </c>
      <c r="F50" s="126">
        <v>0</v>
      </c>
      <c r="G50" s="126">
        <v>0</v>
      </c>
      <c r="H50" s="126">
        <v>0</v>
      </c>
      <c r="I50" s="126">
        <v>0</v>
      </c>
      <c r="J50" s="126">
        <v>0</v>
      </c>
      <c r="K50" s="126">
        <f t="shared" si="3"/>
        <v>65</v>
      </c>
      <c r="L50" s="151">
        <v>0</v>
      </c>
      <c r="M50" s="140">
        <v>34</v>
      </c>
      <c r="N50" s="140">
        <v>31</v>
      </c>
      <c r="O50" s="140">
        <v>2</v>
      </c>
      <c r="P50" s="126">
        <f t="shared" si="4"/>
        <v>45</v>
      </c>
      <c r="Q50" s="140">
        <v>4</v>
      </c>
      <c r="R50" s="140">
        <v>41</v>
      </c>
      <c r="S50" s="9"/>
    </row>
    <row r="51" spans="1:19" s="10" customFormat="1" ht="18" customHeight="1">
      <c r="A51" s="154">
        <v>16</v>
      </c>
      <c r="B51" s="155" t="s">
        <v>189</v>
      </c>
      <c r="C51" s="126">
        <v>0</v>
      </c>
      <c r="D51" s="126">
        <v>0</v>
      </c>
      <c r="E51" s="126">
        <v>0</v>
      </c>
      <c r="F51" s="126">
        <v>0</v>
      </c>
      <c r="G51" s="126">
        <v>0</v>
      </c>
      <c r="H51" s="126">
        <v>0</v>
      </c>
      <c r="I51" s="126">
        <v>0</v>
      </c>
      <c r="J51" s="126">
        <v>0</v>
      </c>
      <c r="K51" s="126">
        <f t="shared" si="3"/>
        <v>166</v>
      </c>
      <c r="L51" s="249">
        <v>98</v>
      </c>
      <c r="M51" s="249">
        <v>31</v>
      </c>
      <c r="N51" s="249">
        <v>37</v>
      </c>
      <c r="O51" s="249">
        <v>2</v>
      </c>
      <c r="P51" s="126">
        <f t="shared" si="4"/>
        <v>58</v>
      </c>
      <c r="Q51" s="140">
        <v>19</v>
      </c>
      <c r="R51" s="140">
        <v>39</v>
      </c>
      <c r="S51" s="9"/>
    </row>
    <row r="52" spans="1:19" s="10" customFormat="1" ht="18" customHeight="1">
      <c r="A52" s="154">
        <v>17</v>
      </c>
      <c r="B52" s="155" t="s">
        <v>190</v>
      </c>
      <c r="C52" s="126">
        <v>0</v>
      </c>
      <c r="D52" s="126">
        <v>0</v>
      </c>
      <c r="E52" s="126">
        <v>0</v>
      </c>
      <c r="F52" s="126">
        <v>0</v>
      </c>
      <c r="G52" s="126">
        <v>0</v>
      </c>
      <c r="H52" s="126">
        <v>0</v>
      </c>
      <c r="I52" s="126">
        <v>0</v>
      </c>
      <c r="J52" s="126">
        <v>0</v>
      </c>
      <c r="K52" s="126">
        <f t="shared" si="3"/>
        <v>198</v>
      </c>
      <c r="L52" s="140">
        <v>162</v>
      </c>
      <c r="M52" s="140">
        <v>35</v>
      </c>
      <c r="N52" s="140">
        <v>1</v>
      </c>
      <c r="O52" s="140">
        <v>1</v>
      </c>
      <c r="P52" s="126">
        <f t="shared" si="4"/>
        <v>32</v>
      </c>
      <c r="Q52" s="140">
        <v>12</v>
      </c>
      <c r="R52" s="140">
        <v>20</v>
      </c>
      <c r="S52" s="9"/>
    </row>
    <row r="53" spans="1:19" s="10" customFormat="1" ht="18" customHeight="1">
      <c r="A53" s="154">
        <v>18</v>
      </c>
      <c r="B53" s="155" t="s">
        <v>191</v>
      </c>
      <c r="C53" s="126">
        <v>0</v>
      </c>
      <c r="D53" s="126">
        <v>0</v>
      </c>
      <c r="E53" s="126">
        <v>0</v>
      </c>
      <c r="F53" s="126">
        <v>0</v>
      </c>
      <c r="G53" s="126">
        <v>0</v>
      </c>
      <c r="H53" s="126">
        <v>0</v>
      </c>
      <c r="I53" s="126">
        <v>0</v>
      </c>
      <c r="J53" s="126">
        <v>0</v>
      </c>
      <c r="K53" s="126">
        <f t="shared" si="3"/>
        <v>257</v>
      </c>
      <c r="L53" s="140">
        <v>166</v>
      </c>
      <c r="M53" s="140">
        <v>66</v>
      </c>
      <c r="N53" s="140">
        <v>25</v>
      </c>
      <c r="O53" s="140">
        <v>4</v>
      </c>
      <c r="P53" s="126">
        <f t="shared" si="4"/>
        <v>28</v>
      </c>
      <c r="Q53" s="141">
        <v>7</v>
      </c>
      <c r="R53" s="141">
        <v>21</v>
      </c>
      <c r="S53" s="9"/>
    </row>
    <row r="54" spans="1:19" s="10" customFormat="1" ht="18" customHeight="1">
      <c r="A54" s="154">
        <v>19</v>
      </c>
      <c r="B54" s="157" t="s">
        <v>211</v>
      </c>
      <c r="C54" s="126">
        <v>0</v>
      </c>
      <c r="D54" s="126">
        <v>0</v>
      </c>
      <c r="E54" s="126">
        <v>0</v>
      </c>
      <c r="F54" s="126">
        <v>0</v>
      </c>
      <c r="G54" s="126">
        <v>0</v>
      </c>
      <c r="H54" s="126">
        <v>0</v>
      </c>
      <c r="I54" s="126">
        <v>0</v>
      </c>
      <c r="J54" s="126">
        <v>0</v>
      </c>
      <c r="K54" s="126">
        <f t="shared" si="3"/>
        <v>405</v>
      </c>
      <c r="L54" s="141">
        <v>325</v>
      </c>
      <c r="M54" s="141">
        <v>42</v>
      </c>
      <c r="N54" s="141">
        <v>38</v>
      </c>
      <c r="O54" s="141">
        <v>2</v>
      </c>
      <c r="P54" s="126">
        <f t="shared" si="4"/>
        <v>87</v>
      </c>
      <c r="Q54" s="141">
        <v>31</v>
      </c>
      <c r="R54" s="141">
        <v>56</v>
      </c>
      <c r="S54" s="9"/>
    </row>
    <row r="55" spans="1:19" s="10" customFormat="1" ht="18" customHeight="1">
      <c r="A55" s="154">
        <v>20</v>
      </c>
      <c r="B55" s="157" t="s">
        <v>212</v>
      </c>
      <c r="C55" s="126">
        <v>0</v>
      </c>
      <c r="D55" s="126">
        <v>0</v>
      </c>
      <c r="E55" s="126">
        <v>0</v>
      </c>
      <c r="F55" s="126">
        <v>0</v>
      </c>
      <c r="G55" s="126">
        <v>0</v>
      </c>
      <c r="H55" s="126">
        <v>0</v>
      </c>
      <c r="I55" s="126">
        <v>0</v>
      </c>
      <c r="J55" s="126">
        <v>0</v>
      </c>
      <c r="K55" s="126">
        <f t="shared" si="3"/>
        <v>216</v>
      </c>
      <c r="L55" s="141">
        <v>155</v>
      </c>
      <c r="M55" s="141">
        <v>46</v>
      </c>
      <c r="N55" s="141">
        <v>15</v>
      </c>
      <c r="O55" s="141"/>
      <c r="P55" s="126">
        <f t="shared" si="4"/>
        <v>40</v>
      </c>
      <c r="Q55" s="140">
        <v>23</v>
      </c>
      <c r="R55" s="140">
        <v>17</v>
      </c>
      <c r="S55" s="9"/>
    </row>
    <row r="56" spans="1:19" s="10" customFormat="1" ht="18" customHeight="1">
      <c r="A56" s="154">
        <v>21</v>
      </c>
      <c r="B56" s="157" t="s">
        <v>213</v>
      </c>
      <c r="C56" s="126">
        <v>0</v>
      </c>
      <c r="D56" s="126">
        <v>0</v>
      </c>
      <c r="E56" s="126">
        <v>0</v>
      </c>
      <c r="F56" s="126">
        <v>0</v>
      </c>
      <c r="G56" s="126">
        <v>0</v>
      </c>
      <c r="H56" s="126">
        <v>0</v>
      </c>
      <c r="I56" s="126">
        <v>0</v>
      </c>
      <c r="J56" s="126">
        <v>0</v>
      </c>
      <c r="K56" s="126">
        <f>M56+N56</f>
        <v>74</v>
      </c>
      <c r="L56" s="286" t="s">
        <v>290</v>
      </c>
      <c r="M56" s="141">
        <v>71</v>
      </c>
      <c r="N56" s="141">
        <v>3</v>
      </c>
      <c r="O56" s="140">
        <v>3</v>
      </c>
      <c r="P56" s="126">
        <f t="shared" si="4"/>
        <v>46</v>
      </c>
      <c r="Q56" s="140">
        <v>15</v>
      </c>
      <c r="R56" s="140">
        <v>31</v>
      </c>
      <c r="S56" s="9"/>
    </row>
    <row r="57" spans="1:19" s="10" customFormat="1" ht="18" customHeight="1">
      <c r="A57" s="154">
        <v>22</v>
      </c>
      <c r="B57" s="157" t="s">
        <v>214</v>
      </c>
      <c r="C57" s="126">
        <v>0</v>
      </c>
      <c r="D57" s="126">
        <v>0</v>
      </c>
      <c r="E57" s="126">
        <v>0</v>
      </c>
      <c r="F57" s="126">
        <v>0</v>
      </c>
      <c r="G57" s="126">
        <v>0</v>
      </c>
      <c r="H57" s="126">
        <v>0</v>
      </c>
      <c r="I57" s="126">
        <v>0</v>
      </c>
      <c r="J57" s="126">
        <v>0</v>
      </c>
      <c r="K57" s="126">
        <f t="shared" si="3"/>
        <v>28</v>
      </c>
      <c r="L57" s="141">
        <v>10</v>
      </c>
      <c r="M57" s="141">
        <v>5</v>
      </c>
      <c r="N57" s="141">
        <v>13</v>
      </c>
      <c r="O57" s="140">
        <v>1</v>
      </c>
      <c r="P57" s="126">
        <f t="shared" si="4"/>
        <v>21</v>
      </c>
      <c r="Q57" s="140">
        <v>5</v>
      </c>
      <c r="R57" s="140">
        <v>16</v>
      </c>
      <c r="S57" s="9"/>
    </row>
    <row r="58" spans="1:19" s="10" customFormat="1" ht="18" customHeight="1">
      <c r="A58" s="154">
        <v>23</v>
      </c>
      <c r="B58" s="157" t="s">
        <v>215</v>
      </c>
      <c r="C58" s="126">
        <v>0</v>
      </c>
      <c r="D58" s="126">
        <v>0</v>
      </c>
      <c r="E58" s="126">
        <v>0</v>
      </c>
      <c r="F58" s="126">
        <v>0</v>
      </c>
      <c r="G58" s="126">
        <v>0</v>
      </c>
      <c r="H58" s="126">
        <v>0</v>
      </c>
      <c r="I58" s="126">
        <v>0</v>
      </c>
      <c r="J58" s="126">
        <v>0</v>
      </c>
      <c r="K58" s="126">
        <f t="shared" si="3"/>
        <v>87</v>
      </c>
      <c r="L58" s="141">
        <v>56</v>
      </c>
      <c r="M58" s="141">
        <v>12</v>
      </c>
      <c r="N58" s="141">
        <v>19</v>
      </c>
      <c r="O58" s="140">
        <v>1</v>
      </c>
      <c r="P58" s="126">
        <f t="shared" si="4"/>
        <v>32</v>
      </c>
      <c r="Q58" s="140">
        <v>16</v>
      </c>
      <c r="R58" s="140">
        <v>16</v>
      </c>
      <c r="S58" s="9"/>
    </row>
    <row r="59" spans="1:19" s="10" customFormat="1" ht="18" customHeight="1">
      <c r="A59" s="156">
        <v>24</v>
      </c>
      <c r="B59" s="158" t="s">
        <v>216</v>
      </c>
      <c r="C59" s="126">
        <v>0</v>
      </c>
      <c r="D59" s="126">
        <v>0</v>
      </c>
      <c r="E59" s="126">
        <v>0</v>
      </c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f t="shared" si="3"/>
        <v>1320</v>
      </c>
      <c r="L59" s="141">
        <v>1047</v>
      </c>
      <c r="M59" s="141">
        <v>234</v>
      </c>
      <c r="N59" s="141">
        <v>39</v>
      </c>
      <c r="O59" s="141">
        <v>0</v>
      </c>
      <c r="P59" s="126">
        <f t="shared" si="4"/>
        <v>50</v>
      </c>
      <c r="Q59" s="141"/>
      <c r="R59" s="140">
        <v>50</v>
      </c>
      <c r="S59" s="9"/>
    </row>
    <row r="60" spans="1:19" s="10" customFormat="1" ht="18" customHeight="1">
      <c r="A60" s="154">
        <v>25</v>
      </c>
      <c r="B60" s="157" t="s">
        <v>217</v>
      </c>
      <c r="C60" s="126">
        <v>0</v>
      </c>
      <c r="D60" s="126">
        <v>0</v>
      </c>
      <c r="E60" s="126">
        <v>0</v>
      </c>
      <c r="F60" s="126">
        <v>0</v>
      </c>
      <c r="G60" s="126">
        <v>0</v>
      </c>
      <c r="H60" s="126">
        <v>0</v>
      </c>
      <c r="I60" s="126">
        <v>0</v>
      </c>
      <c r="J60" s="126">
        <v>0</v>
      </c>
      <c r="K60" s="126">
        <f t="shared" si="3"/>
        <v>618</v>
      </c>
      <c r="L60" s="141">
        <v>533</v>
      </c>
      <c r="M60" s="141">
        <v>68</v>
      </c>
      <c r="N60" s="141">
        <v>17</v>
      </c>
      <c r="O60" s="140">
        <v>1</v>
      </c>
      <c r="P60" s="126">
        <f t="shared" si="4"/>
        <v>62</v>
      </c>
      <c r="Q60" s="140">
        <v>38</v>
      </c>
      <c r="R60" s="140">
        <v>24</v>
      </c>
      <c r="S60" s="9"/>
    </row>
    <row r="61" spans="1:19" s="10" customFormat="1" ht="18" customHeight="1">
      <c r="A61" s="154">
        <v>26</v>
      </c>
      <c r="B61" s="157" t="s">
        <v>218</v>
      </c>
      <c r="C61" s="126">
        <v>0</v>
      </c>
      <c r="D61" s="126">
        <v>0</v>
      </c>
      <c r="E61" s="126">
        <v>0</v>
      </c>
      <c r="F61" s="126">
        <v>0</v>
      </c>
      <c r="G61" s="126">
        <v>0</v>
      </c>
      <c r="H61" s="126">
        <v>0</v>
      </c>
      <c r="I61" s="126">
        <v>0</v>
      </c>
      <c r="J61" s="126">
        <v>0</v>
      </c>
      <c r="K61" s="126">
        <f>L61+M61</f>
        <v>1832</v>
      </c>
      <c r="L61" s="141">
        <v>1761</v>
      </c>
      <c r="M61" s="141">
        <v>71</v>
      </c>
      <c r="N61" s="286" t="s">
        <v>290</v>
      </c>
      <c r="O61" s="286" t="s">
        <v>290</v>
      </c>
      <c r="P61" s="126">
        <f t="shared" si="4"/>
        <v>33</v>
      </c>
      <c r="Q61" s="140">
        <v>17</v>
      </c>
      <c r="R61" s="140">
        <v>16</v>
      </c>
      <c r="S61" s="9"/>
    </row>
    <row r="62" spans="1:19" s="10" customFormat="1" ht="18" customHeight="1">
      <c r="A62" s="154">
        <v>27</v>
      </c>
      <c r="B62" s="157" t="s">
        <v>219</v>
      </c>
      <c r="C62" s="126">
        <v>0</v>
      </c>
      <c r="D62" s="126">
        <v>0</v>
      </c>
      <c r="E62" s="126">
        <v>0</v>
      </c>
      <c r="F62" s="126">
        <v>0</v>
      </c>
      <c r="G62" s="126">
        <v>0</v>
      </c>
      <c r="H62" s="126">
        <v>0</v>
      </c>
      <c r="I62" s="126">
        <v>0</v>
      </c>
      <c r="J62" s="126">
        <v>0</v>
      </c>
      <c r="K62" s="126">
        <f t="shared" si="3"/>
        <v>360</v>
      </c>
      <c r="L62" s="141">
        <v>322</v>
      </c>
      <c r="M62" s="141">
        <v>18</v>
      </c>
      <c r="N62" s="141">
        <v>20</v>
      </c>
      <c r="O62" s="140">
        <v>1</v>
      </c>
      <c r="P62" s="126">
        <f t="shared" si="4"/>
        <v>43</v>
      </c>
      <c r="Q62" s="140">
        <v>18</v>
      </c>
      <c r="R62" s="140">
        <v>25</v>
      </c>
      <c r="S62" s="9"/>
    </row>
    <row r="63" spans="1:19" s="10" customFormat="1" ht="18" customHeight="1">
      <c r="A63" s="154">
        <v>28</v>
      </c>
      <c r="B63" s="157" t="s">
        <v>220</v>
      </c>
      <c r="C63" s="126">
        <v>0</v>
      </c>
      <c r="D63" s="126">
        <v>0</v>
      </c>
      <c r="E63" s="126">
        <v>0</v>
      </c>
      <c r="F63" s="126">
        <v>0</v>
      </c>
      <c r="G63" s="126">
        <v>0</v>
      </c>
      <c r="H63" s="126">
        <v>0</v>
      </c>
      <c r="I63" s="126">
        <v>0</v>
      </c>
      <c r="J63" s="126">
        <v>0</v>
      </c>
      <c r="K63" s="126">
        <f t="shared" si="3"/>
        <v>91</v>
      </c>
      <c r="L63" s="141">
        <v>50</v>
      </c>
      <c r="M63" s="141">
        <v>25</v>
      </c>
      <c r="N63" s="141">
        <v>16</v>
      </c>
      <c r="O63" s="140">
        <v>1</v>
      </c>
      <c r="P63" s="126">
        <f t="shared" si="4"/>
        <v>68</v>
      </c>
      <c r="Q63" s="140">
        <v>22</v>
      </c>
      <c r="R63" s="140">
        <v>46</v>
      </c>
      <c r="S63" s="9"/>
    </row>
    <row r="64" spans="1:19" s="10" customFormat="1" ht="18" customHeight="1">
      <c r="A64" s="154">
        <v>29</v>
      </c>
      <c r="B64" s="157" t="s">
        <v>221</v>
      </c>
      <c r="C64" s="126">
        <v>0</v>
      </c>
      <c r="D64" s="126">
        <v>0</v>
      </c>
      <c r="E64" s="126">
        <v>0</v>
      </c>
      <c r="F64" s="126">
        <v>0</v>
      </c>
      <c r="G64" s="126">
        <v>0</v>
      </c>
      <c r="H64" s="126">
        <v>0</v>
      </c>
      <c r="I64" s="126">
        <v>0</v>
      </c>
      <c r="J64" s="126">
        <v>0</v>
      </c>
      <c r="K64" s="126">
        <f t="shared" si="3"/>
        <v>608</v>
      </c>
      <c r="L64" s="141">
        <v>556</v>
      </c>
      <c r="M64" s="141">
        <v>36</v>
      </c>
      <c r="N64" s="141">
        <v>16</v>
      </c>
      <c r="O64" s="140">
        <v>0</v>
      </c>
      <c r="P64" s="126">
        <f t="shared" si="4"/>
        <v>30</v>
      </c>
      <c r="Q64" s="140">
        <v>11</v>
      </c>
      <c r="R64" s="140">
        <v>19</v>
      </c>
      <c r="S64" s="9"/>
    </row>
    <row r="65" spans="1:19" s="10" customFormat="1" ht="18" customHeight="1">
      <c r="A65" s="154">
        <v>30</v>
      </c>
      <c r="B65" s="157" t="s">
        <v>222</v>
      </c>
      <c r="C65" s="126">
        <v>0</v>
      </c>
      <c r="D65" s="126">
        <v>0</v>
      </c>
      <c r="E65" s="126">
        <v>0</v>
      </c>
      <c r="F65" s="126">
        <v>0</v>
      </c>
      <c r="G65" s="126">
        <v>0</v>
      </c>
      <c r="H65" s="126">
        <v>0</v>
      </c>
      <c r="I65" s="126">
        <v>0</v>
      </c>
      <c r="J65" s="126">
        <v>0</v>
      </c>
      <c r="K65" s="126">
        <f t="shared" si="3"/>
        <v>1237</v>
      </c>
      <c r="L65" s="140">
        <v>1011</v>
      </c>
      <c r="M65" s="140">
        <v>197</v>
      </c>
      <c r="N65" s="140">
        <v>29</v>
      </c>
      <c r="O65" s="140">
        <v>1</v>
      </c>
      <c r="P65" s="126">
        <f t="shared" si="4"/>
        <v>169</v>
      </c>
      <c r="Q65" s="140">
        <v>151</v>
      </c>
      <c r="R65" s="140">
        <v>18</v>
      </c>
      <c r="S65" s="9"/>
    </row>
    <row r="66" spans="1:19" s="10" customFormat="1" ht="18" customHeight="1">
      <c r="A66" s="154">
        <v>31</v>
      </c>
      <c r="B66" s="157" t="s">
        <v>223</v>
      </c>
      <c r="C66" s="126">
        <v>0</v>
      </c>
      <c r="D66" s="126">
        <v>0</v>
      </c>
      <c r="E66" s="126">
        <v>0</v>
      </c>
      <c r="F66" s="126">
        <v>0</v>
      </c>
      <c r="G66" s="126">
        <v>0</v>
      </c>
      <c r="H66" s="126">
        <v>0</v>
      </c>
      <c r="I66" s="126">
        <v>0</v>
      </c>
      <c r="J66" s="126">
        <v>0</v>
      </c>
      <c r="K66" s="126">
        <f t="shared" si="3"/>
        <v>162</v>
      </c>
      <c r="L66" s="140">
        <v>115</v>
      </c>
      <c r="M66" s="140">
        <v>7</v>
      </c>
      <c r="N66" s="140">
        <v>40</v>
      </c>
      <c r="O66" s="140">
        <v>1</v>
      </c>
      <c r="P66" s="126">
        <f t="shared" si="4"/>
        <v>41</v>
      </c>
      <c r="Q66" s="140">
        <v>3</v>
      </c>
      <c r="R66" s="140">
        <v>38</v>
      </c>
      <c r="S66" s="9"/>
    </row>
    <row r="67" spans="1:19" s="10" customFormat="1" ht="18" customHeight="1">
      <c r="A67" s="154">
        <v>32</v>
      </c>
      <c r="B67" s="157" t="s">
        <v>224</v>
      </c>
      <c r="C67" s="126">
        <v>0</v>
      </c>
      <c r="D67" s="126">
        <v>0</v>
      </c>
      <c r="E67" s="126">
        <v>0</v>
      </c>
      <c r="F67" s="126">
        <v>0</v>
      </c>
      <c r="G67" s="126">
        <v>0</v>
      </c>
      <c r="H67" s="126">
        <v>0</v>
      </c>
      <c r="I67" s="126">
        <v>0</v>
      </c>
      <c r="J67" s="126">
        <v>0</v>
      </c>
      <c r="K67" s="126">
        <f t="shared" si="3"/>
        <v>269</v>
      </c>
      <c r="L67" s="140">
        <v>211</v>
      </c>
      <c r="M67" s="140">
        <v>19</v>
      </c>
      <c r="N67" s="140">
        <v>39</v>
      </c>
      <c r="O67" s="140">
        <v>2</v>
      </c>
      <c r="P67" s="126">
        <f t="shared" si="4"/>
        <v>46</v>
      </c>
      <c r="Q67" s="140">
        <v>5</v>
      </c>
      <c r="R67" s="140">
        <v>41</v>
      </c>
      <c r="S67" s="9"/>
    </row>
    <row r="68" spans="1:19" s="10" customFormat="1" ht="18" customHeight="1">
      <c r="A68" s="154">
        <v>33</v>
      </c>
      <c r="B68" s="157" t="s">
        <v>225</v>
      </c>
      <c r="C68" s="126">
        <v>0</v>
      </c>
      <c r="D68" s="126">
        <v>0</v>
      </c>
      <c r="E68" s="126">
        <v>0</v>
      </c>
      <c r="F68" s="126">
        <v>0</v>
      </c>
      <c r="G68" s="126">
        <v>0</v>
      </c>
      <c r="H68" s="126">
        <v>0</v>
      </c>
      <c r="I68" s="126">
        <v>0</v>
      </c>
      <c r="J68" s="126">
        <v>0</v>
      </c>
      <c r="K68" s="126">
        <f t="shared" si="3"/>
        <v>209</v>
      </c>
      <c r="L68" s="140">
        <v>83</v>
      </c>
      <c r="M68" s="140">
        <v>69</v>
      </c>
      <c r="N68" s="140">
        <v>57</v>
      </c>
      <c r="O68" s="140">
        <v>2</v>
      </c>
      <c r="P68" s="126">
        <f t="shared" si="4"/>
        <v>74</v>
      </c>
      <c r="Q68" s="140">
        <v>20</v>
      </c>
      <c r="R68" s="140">
        <v>54</v>
      </c>
      <c r="S68" s="9"/>
    </row>
    <row r="69" spans="1:19" s="10" customFormat="1" ht="18" customHeight="1">
      <c r="A69" s="154">
        <v>34</v>
      </c>
      <c r="B69" s="157" t="s">
        <v>226</v>
      </c>
      <c r="C69" s="126">
        <v>0</v>
      </c>
      <c r="D69" s="126">
        <v>0</v>
      </c>
      <c r="E69" s="126">
        <v>0</v>
      </c>
      <c r="F69" s="126">
        <v>0</v>
      </c>
      <c r="G69" s="126">
        <v>0</v>
      </c>
      <c r="H69" s="126">
        <v>0</v>
      </c>
      <c r="I69" s="126">
        <v>0</v>
      </c>
      <c r="J69" s="126">
        <v>0</v>
      </c>
      <c r="K69" s="126">
        <f t="shared" si="3"/>
        <v>41</v>
      </c>
      <c r="L69" s="141">
        <v>0</v>
      </c>
      <c r="M69" s="141">
        <v>0</v>
      </c>
      <c r="N69" s="140">
        <v>41</v>
      </c>
      <c r="O69" s="140">
        <v>3</v>
      </c>
      <c r="P69" s="126">
        <f t="shared" si="4"/>
        <v>46</v>
      </c>
      <c r="Q69" s="140">
        <v>0</v>
      </c>
      <c r="R69" s="140">
        <v>46</v>
      </c>
      <c r="S69" s="9"/>
    </row>
    <row r="70" spans="1:19" s="10" customFormat="1" ht="18" customHeight="1">
      <c r="A70" s="154">
        <v>35</v>
      </c>
      <c r="B70" s="157" t="s">
        <v>227</v>
      </c>
      <c r="C70" s="126">
        <v>0</v>
      </c>
      <c r="D70" s="126">
        <v>0</v>
      </c>
      <c r="E70" s="126">
        <v>0</v>
      </c>
      <c r="F70" s="126">
        <v>0</v>
      </c>
      <c r="G70" s="126">
        <v>0</v>
      </c>
      <c r="H70" s="126">
        <v>0</v>
      </c>
      <c r="I70" s="126">
        <v>0</v>
      </c>
      <c r="J70" s="126">
        <v>0</v>
      </c>
      <c r="K70" s="126">
        <f t="shared" si="3"/>
        <v>456</v>
      </c>
      <c r="L70" s="140">
        <v>318</v>
      </c>
      <c r="M70" s="140">
        <v>107</v>
      </c>
      <c r="N70" s="140">
        <v>31</v>
      </c>
      <c r="O70" s="140">
        <v>0</v>
      </c>
      <c r="P70" s="126">
        <f t="shared" si="4"/>
        <v>132</v>
      </c>
      <c r="Q70" s="140">
        <v>54</v>
      </c>
      <c r="R70" s="140">
        <v>78</v>
      </c>
      <c r="S70" s="9"/>
    </row>
    <row r="71" spans="1:19" s="10" customFormat="1" ht="18" customHeight="1">
      <c r="A71" s="154">
        <v>36</v>
      </c>
      <c r="B71" s="159" t="s">
        <v>229</v>
      </c>
      <c r="C71" s="126">
        <v>0</v>
      </c>
      <c r="D71" s="126">
        <v>0</v>
      </c>
      <c r="E71" s="126">
        <v>0</v>
      </c>
      <c r="F71" s="126">
        <v>0</v>
      </c>
      <c r="G71" s="126">
        <v>0</v>
      </c>
      <c r="H71" s="126">
        <v>0</v>
      </c>
      <c r="I71" s="126">
        <v>0</v>
      </c>
      <c r="J71" s="126">
        <v>0</v>
      </c>
      <c r="K71" s="126">
        <f t="shared" si="3"/>
        <v>876</v>
      </c>
      <c r="L71" s="140">
        <v>826</v>
      </c>
      <c r="M71" s="140">
        <v>34</v>
      </c>
      <c r="N71" s="140">
        <v>16</v>
      </c>
      <c r="O71" s="140">
        <v>0</v>
      </c>
      <c r="P71" s="126">
        <f t="shared" si="4"/>
        <v>22</v>
      </c>
      <c r="Q71" s="140">
        <v>1</v>
      </c>
      <c r="R71" s="140">
        <v>21</v>
      </c>
      <c r="S71" s="9"/>
    </row>
    <row r="72" spans="1:19" s="10" customFormat="1" ht="18" customHeight="1">
      <c r="A72" s="154">
        <v>37</v>
      </c>
      <c r="B72" s="159" t="s">
        <v>230</v>
      </c>
      <c r="C72" s="126">
        <v>0</v>
      </c>
      <c r="D72" s="126">
        <v>0</v>
      </c>
      <c r="E72" s="126">
        <v>0</v>
      </c>
      <c r="F72" s="126">
        <v>0</v>
      </c>
      <c r="G72" s="126">
        <v>0</v>
      </c>
      <c r="H72" s="126">
        <v>0</v>
      </c>
      <c r="I72" s="126">
        <v>0</v>
      </c>
      <c r="J72" s="126">
        <v>0</v>
      </c>
      <c r="K72" s="126">
        <f t="shared" si="3"/>
        <v>30</v>
      </c>
      <c r="L72" s="140">
        <v>0</v>
      </c>
      <c r="M72" s="140">
        <v>0</v>
      </c>
      <c r="N72" s="140">
        <v>30</v>
      </c>
      <c r="O72" s="140">
        <v>0</v>
      </c>
      <c r="P72" s="126">
        <f t="shared" si="4"/>
        <v>56</v>
      </c>
      <c r="Q72" s="140">
        <v>0</v>
      </c>
      <c r="R72" s="140">
        <v>56</v>
      </c>
      <c r="S72" s="9"/>
    </row>
    <row r="73" spans="1:19" s="10" customFormat="1" ht="18" customHeight="1">
      <c r="A73" s="154">
        <v>38</v>
      </c>
      <c r="B73" s="159" t="s">
        <v>231</v>
      </c>
      <c r="C73" s="126">
        <v>0</v>
      </c>
      <c r="D73" s="126">
        <v>0</v>
      </c>
      <c r="E73" s="126">
        <v>0</v>
      </c>
      <c r="F73" s="126">
        <v>0</v>
      </c>
      <c r="G73" s="126">
        <v>0</v>
      </c>
      <c r="H73" s="126">
        <v>0</v>
      </c>
      <c r="I73" s="126">
        <v>0</v>
      </c>
      <c r="J73" s="126">
        <v>0</v>
      </c>
      <c r="K73" s="126">
        <f t="shared" si="3"/>
        <v>309</v>
      </c>
      <c r="L73" s="140">
        <v>220</v>
      </c>
      <c r="M73" s="140">
        <v>77</v>
      </c>
      <c r="N73" s="140">
        <v>12</v>
      </c>
      <c r="O73" s="140">
        <v>2</v>
      </c>
      <c r="P73" s="126">
        <f t="shared" si="4"/>
        <v>57</v>
      </c>
      <c r="Q73" s="140">
        <v>28</v>
      </c>
      <c r="R73" s="140">
        <v>29</v>
      </c>
      <c r="S73" s="9"/>
    </row>
    <row r="74" spans="1:19" s="10" customFormat="1" ht="18" customHeight="1">
      <c r="A74" s="154">
        <v>39</v>
      </c>
      <c r="B74" s="159" t="s">
        <v>232</v>
      </c>
      <c r="C74" s="126">
        <v>0</v>
      </c>
      <c r="D74" s="126">
        <v>0</v>
      </c>
      <c r="E74" s="126">
        <v>0</v>
      </c>
      <c r="F74" s="126">
        <v>0</v>
      </c>
      <c r="G74" s="126">
        <v>0</v>
      </c>
      <c r="H74" s="126">
        <v>0</v>
      </c>
      <c r="I74" s="126">
        <v>0</v>
      </c>
      <c r="J74" s="126">
        <v>0</v>
      </c>
      <c r="K74" s="126">
        <f t="shared" si="3"/>
        <v>834</v>
      </c>
      <c r="L74" s="140">
        <v>781</v>
      </c>
      <c r="M74" s="140">
        <v>35</v>
      </c>
      <c r="N74" s="140">
        <v>18</v>
      </c>
      <c r="O74" s="140">
        <v>0</v>
      </c>
      <c r="P74" s="126">
        <f t="shared" si="4"/>
        <v>39</v>
      </c>
      <c r="Q74" s="140">
        <v>24</v>
      </c>
      <c r="R74" s="140">
        <v>15</v>
      </c>
      <c r="S74" s="9"/>
    </row>
    <row r="75" spans="1:19" s="10" customFormat="1" ht="18" customHeight="1">
      <c r="A75" s="154">
        <v>40</v>
      </c>
      <c r="B75" s="159" t="s">
        <v>233</v>
      </c>
      <c r="C75" s="126">
        <v>0</v>
      </c>
      <c r="D75" s="126">
        <v>0</v>
      </c>
      <c r="E75" s="126">
        <v>0</v>
      </c>
      <c r="F75" s="126">
        <v>0</v>
      </c>
      <c r="G75" s="126">
        <v>0</v>
      </c>
      <c r="H75" s="126">
        <v>0</v>
      </c>
      <c r="I75" s="126">
        <v>0</v>
      </c>
      <c r="J75" s="126">
        <v>0</v>
      </c>
      <c r="K75" s="126">
        <f t="shared" si="3"/>
        <v>2407</v>
      </c>
      <c r="L75" s="141">
        <v>1952</v>
      </c>
      <c r="M75" s="141">
        <v>348</v>
      </c>
      <c r="N75" s="141">
        <v>107</v>
      </c>
      <c r="O75" s="140">
        <v>6</v>
      </c>
      <c r="P75" s="126">
        <f t="shared" si="4"/>
        <v>371</v>
      </c>
      <c r="Q75" s="140">
        <v>273</v>
      </c>
      <c r="R75" s="140">
        <v>98</v>
      </c>
      <c r="S75" s="9"/>
    </row>
    <row r="76" spans="1:19" s="10" customFormat="1" ht="18" customHeight="1">
      <c r="A76" s="154">
        <v>41</v>
      </c>
      <c r="B76" s="159" t="s">
        <v>234</v>
      </c>
      <c r="C76" s="126">
        <v>0</v>
      </c>
      <c r="D76" s="126">
        <v>0</v>
      </c>
      <c r="E76" s="126">
        <v>0</v>
      </c>
      <c r="F76" s="126">
        <v>0</v>
      </c>
      <c r="G76" s="126">
        <v>0</v>
      </c>
      <c r="H76" s="126">
        <v>0</v>
      </c>
      <c r="I76" s="126">
        <v>0</v>
      </c>
      <c r="J76" s="126">
        <v>0</v>
      </c>
      <c r="K76" s="126">
        <f t="shared" si="3"/>
        <v>500</v>
      </c>
      <c r="L76" s="140">
        <v>432</v>
      </c>
      <c r="M76" s="140">
        <v>32</v>
      </c>
      <c r="N76" s="140">
        <v>36</v>
      </c>
      <c r="O76" s="140">
        <v>0</v>
      </c>
      <c r="P76" s="126">
        <f t="shared" si="4"/>
        <v>66</v>
      </c>
      <c r="Q76" s="140">
        <v>18</v>
      </c>
      <c r="R76" s="140">
        <v>48</v>
      </c>
      <c r="S76" s="9"/>
    </row>
    <row r="77" spans="1:19" s="10" customFormat="1" ht="18" customHeight="1">
      <c r="A77" s="154">
        <v>42</v>
      </c>
      <c r="B77" s="159" t="s">
        <v>235</v>
      </c>
      <c r="C77" s="126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f t="shared" si="3"/>
        <v>104</v>
      </c>
      <c r="L77" s="140">
        <v>30</v>
      </c>
      <c r="M77" s="140">
        <v>36</v>
      </c>
      <c r="N77" s="140">
        <v>38</v>
      </c>
      <c r="O77" s="140">
        <v>3</v>
      </c>
      <c r="P77" s="126">
        <f t="shared" si="4"/>
        <v>87</v>
      </c>
      <c r="Q77" s="140">
        <v>32</v>
      </c>
      <c r="R77" s="140">
        <v>55</v>
      </c>
      <c r="S77" s="9"/>
    </row>
    <row r="78" spans="1:19" s="10" customFormat="1" ht="18" customHeight="1">
      <c r="A78" s="154">
        <v>43</v>
      </c>
      <c r="B78" s="159" t="s">
        <v>236</v>
      </c>
      <c r="C78" s="126">
        <v>0</v>
      </c>
      <c r="D78" s="126">
        <v>0</v>
      </c>
      <c r="E78" s="126">
        <v>0</v>
      </c>
      <c r="F78" s="126">
        <v>0</v>
      </c>
      <c r="G78" s="126">
        <v>0</v>
      </c>
      <c r="H78" s="126">
        <v>0</v>
      </c>
      <c r="I78" s="126">
        <v>0</v>
      </c>
      <c r="J78" s="126">
        <v>0</v>
      </c>
      <c r="K78" s="126">
        <f t="shared" si="3"/>
        <v>1238</v>
      </c>
      <c r="L78" s="140">
        <v>1031</v>
      </c>
      <c r="M78" s="140">
        <v>97</v>
      </c>
      <c r="N78" s="140">
        <v>110</v>
      </c>
      <c r="O78" s="140">
        <v>1</v>
      </c>
      <c r="P78" s="126">
        <f t="shared" si="4"/>
        <v>291</v>
      </c>
      <c r="Q78" s="140">
        <v>179</v>
      </c>
      <c r="R78" s="140">
        <v>112</v>
      </c>
      <c r="S78" s="9"/>
    </row>
    <row r="79" spans="1:19" s="10" customFormat="1" ht="18" customHeight="1">
      <c r="A79" s="154">
        <v>44</v>
      </c>
      <c r="B79" s="159" t="s">
        <v>237</v>
      </c>
      <c r="C79" s="126">
        <v>0</v>
      </c>
      <c r="D79" s="126">
        <v>0</v>
      </c>
      <c r="E79" s="126">
        <v>0</v>
      </c>
      <c r="F79" s="126">
        <v>0</v>
      </c>
      <c r="G79" s="126">
        <v>0</v>
      </c>
      <c r="H79" s="126">
        <v>0</v>
      </c>
      <c r="I79" s="126">
        <v>0</v>
      </c>
      <c r="J79" s="126">
        <v>0</v>
      </c>
      <c r="K79" s="126">
        <f t="shared" si="3"/>
        <v>103</v>
      </c>
      <c r="L79" s="140">
        <v>0</v>
      </c>
      <c r="M79" s="140">
        <v>78</v>
      </c>
      <c r="N79" s="140">
        <v>25</v>
      </c>
      <c r="O79" s="140">
        <v>2</v>
      </c>
      <c r="P79" s="126">
        <f t="shared" si="4"/>
        <v>35</v>
      </c>
      <c r="Q79" s="140">
        <v>3</v>
      </c>
      <c r="R79" s="140">
        <v>32</v>
      </c>
      <c r="S79" s="9"/>
    </row>
    <row r="80" spans="1:19" s="119" customFormat="1" ht="18" customHeight="1">
      <c r="A80" s="154">
        <v>45</v>
      </c>
      <c r="B80" s="160" t="s">
        <v>243</v>
      </c>
      <c r="C80" s="126">
        <v>0</v>
      </c>
      <c r="D80" s="126">
        <v>0</v>
      </c>
      <c r="E80" s="126">
        <v>0</v>
      </c>
      <c r="F80" s="126">
        <v>0</v>
      </c>
      <c r="G80" s="126">
        <v>0</v>
      </c>
      <c r="H80" s="126">
        <v>0</v>
      </c>
      <c r="I80" s="126">
        <v>0</v>
      </c>
      <c r="J80" s="126">
        <v>0</v>
      </c>
      <c r="K80" s="126">
        <f t="shared" si="3"/>
        <v>836</v>
      </c>
      <c r="L80" s="140">
        <v>744</v>
      </c>
      <c r="M80" s="140">
        <v>60</v>
      </c>
      <c r="N80" s="140">
        <v>32</v>
      </c>
      <c r="O80" s="140">
        <v>1</v>
      </c>
      <c r="P80" s="126">
        <f t="shared" si="4"/>
        <v>64</v>
      </c>
      <c r="Q80" s="140">
        <v>22</v>
      </c>
      <c r="R80" s="140">
        <v>42</v>
      </c>
      <c r="S80" s="118"/>
    </row>
    <row r="81" spans="1:19" s="119" customFormat="1" ht="18" customHeight="1">
      <c r="A81" s="154">
        <v>46</v>
      </c>
      <c r="B81" s="160" t="s">
        <v>244</v>
      </c>
      <c r="C81" s="126">
        <v>0</v>
      </c>
      <c r="D81" s="126">
        <v>0</v>
      </c>
      <c r="E81" s="126">
        <v>0</v>
      </c>
      <c r="F81" s="126">
        <v>0</v>
      </c>
      <c r="G81" s="126">
        <v>0</v>
      </c>
      <c r="H81" s="126">
        <v>0</v>
      </c>
      <c r="I81" s="126">
        <v>0</v>
      </c>
      <c r="J81" s="126">
        <v>0</v>
      </c>
      <c r="K81" s="126">
        <f t="shared" si="3"/>
        <v>347</v>
      </c>
      <c r="L81" s="140">
        <v>261</v>
      </c>
      <c r="M81" s="140">
        <v>58</v>
      </c>
      <c r="N81" s="140">
        <v>28</v>
      </c>
      <c r="O81" s="140">
        <v>1</v>
      </c>
      <c r="P81" s="126">
        <f t="shared" si="4"/>
        <v>35</v>
      </c>
      <c r="Q81" s="140">
        <v>15</v>
      </c>
      <c r="R81" s="140">
        <v>20</v>
      </c>
      <c r="S81" s="118"/>
    </row>
    <row r="82" spans="1:19" s="119" customFormat="1" ht="18" customHeight="1">
      <c r="A82" s="154">
        <v>47</v>
      </c>
      <c r="B82" s="160" t="s">
        <v>245</v>
      </c>
      <c r="C82" s="126">
        <v>0</v>
      </c>
      <c r="D82" s="126">
        <v>0</v>
      </c>
      <c r="E82" s="126">
        <v>0</v>
      </c>
      <c r="F82" s="126">
        <v>0</v>
      </c>
      <c r="G82" s="126">
        <v>0</v>
      </c>
      <c r="H82" s="126">
        <v>0</v>
      </c>
      <c r="I82" s="126">
        <v>0</v>
      </c>
      <c r="J82" s="126">
        <v>0</v>
      </c>
      <c r="K82" s="126">
        <f t="shared" si="3"/>
        <v>358</v>
      </c>
      <c r="L82" s="140">
        <v>228</v>
      </c>
      <c r="M82" s="140">
        <v>87</v>
      </c>
      <c r="N82" s="140">
        <v>43</v>
      </c>
      <c r="O82" s="140">
        <v>4</v>
      </c>
      <c r="P82" s="126">
        <f t="shared" si="4"/>
        <v>120</v>
      </c>
      <c r="Q82" s="140">
        <v>76</v>
      </c>
      <c r="R82" s="140">
        <v>44</v>
      </c>
      <c r="S82" s="118"/>
    </row>
    <row r="83" spans="1:19" s="119" customFormat="1" ht="18" customHeight="1">
      <c r="A83" s="154">
        <v>48</v>
      </c>
      <c r="B83" s="160" t="s">
        <v>246</v>
      </c>
      <c r="C83" s="126">
        <v>0</v>
      </c>
      <c r="D83" s="126">
        <v>0</v>
      </c>
      <c r="E83" s="126">
        <v>0</v>
      </c>
      <c r="F83" s="126">
        <v>0</v>
      </c>
      <c r="G83" s="126">
        <v>0</v>
      </c>
      <c r="H83" s="126">
        <v>0</v>
      </c>
      <c r="I83" s="126">
        <v>0</v>
      </c>
      <c r="J83" s="126">
        <v>0</v>
      </c>
      <c r="K83" s="126">
        <f t="shared" si="3"/>
        <v>1439</v>
      </c>
      <c r="L83" s="140">
        <v>1217</v>
      </c>
      <c r="M83" s="140">
        <v>161</v>
      </c>
      <c r="N83" s="140">
        <v>61</v>
      </c>
      <c r="O83" s="140">
        <v>1</v>
      </c>
      <c r="P83" s="126">
        <f t="shared" si="4"/>
        <v>146</v>
      </c>
      <c r="Q83" s="140">
        <v>74</v>
      </c>
      <c r="R83" s="140">
        <v>72</v>
      </c>
      <c r="S83" s="118"/>
    </row>
    <row r="84" spans="1:19" s="119" customFormat="1" ht="18" customHeight="1">
      <c r="A84" s="154">
        <v>49</v>
      </c>
      <c r="B84" s="160" t="s">
        <v>247</v>
      </c>
      <c r="C84" s="126">
        <v>0</v>
      </c>
      <c r="D84" s="126">
        <v>0</v>
      </c>
      <c r="E84" s="126">
        <v>0</v>
      </c>
      <c r="F84" s="126">
        <v>0</v>
      </c>
      <c r="G84" s="126">
        <v>0</v>
      </c>
      <c r="H84" s="126">
        <v>0</v>
      </c>
      <c r="I84" s="126">
        <v>0</v>
      </c>
      <c r="J84" s="126">
        <v>0</v>
      </c>
      <c r="K84" s="126">
        <f t="shared" si="3"/>
        <v>717</v>
      </c>
      <c r="L84" s="140">
        <v>618</v>
      </c>
      <c r="M84" s="140">
        <f>2+24+7+7+13+3+28</f>
        <v>84</v>
      </c>
      <c r="N84" s="140">
        <v>15</v>
      </c>
      <c r="O84" s="140">
        <v>1</v>
      </c>
      <c r="P84" s="126">
        <f t="shared" si="4"/>
        <v>31</v>
      </c>
      <c r="Q84" s="140">
        <v>19</v>
      </c>
      <c r="R84" s="140">
        <v>12</v>
      </c>
      <c r="S84" s="118"/>
    </row>
    <row r="85" spans="1:19" s="119" customFormat="1" ht="18" customHeight="1">
      <c r="A85" s="154">
        <v>50</v>
      </c>
      <c r="B85" s="160" t="s">
        <v>248</v>
      </c>
      <c r="C85" s="126">
        <v>0</v>
      </c>
      <c r="D85" s="126">
        <v>0</v>
      </c>
      <c r="E85" s="126">
        <v>0</v>
      </c>
      <c r="F85" s="126">
        <v>0</v>
      </c>
      <c r="G85" s="126">
        <v>0</v>
      </c>
      <c r="H85" s="126">
        <v>0</v>
      </c>
      <c r="I85" s="126">
        <v>0</v>
      </c>
      <c r="J85" s="126">
        <v>0</v>
      </c>
      <c r="K85" s="126">
        <f t="shared" si="3"/>
        <v>366</v>
      </c>
      <c r="L85" s="140">
        <v>246</v>
      </c>
      <c r="M85" s="140">
        <v>65</v>
      </c>
      <c r="N85" s="140">
        <v>55</v>
      </c>
      <c r="O85" s="140">
        <v>4</v>
      </c>
      <c r="P85" s="126">
        <f t="shared" si="4"/>
        <v>69</v>
      </c>
      <c r="Q85" s="140">
        <v>9</v>
      </c>
      <c r="R85" s="140">
        <v>60</v>
      </c>
      <c r="S85" s="118"/>
    </row>
    <row r="86" spans="1:19" s="119" customFormat="1" ht="18" customHeight="1">
      <c r="A86" s="154">
        <v>51</v>
      </c>
      <c r="B86" s="161" t="s">
        <v>249</v>
      </c>
      <c r="C86" s="126">
        <v>0</v>
      </c>
      <c r="D86" s="126">
        <v>0</v>
      </c>
      <c r="E86" s="126">
        <v>0</v>
      </c>
      <c r="F86" s="126">
        <v>0</v>
      </c>
      <c r="G86" s="126">
        <v>0</v>
      </c>
      <c r="H86" s="126">
        <v>0</v>
      </c>
      <c r="I86" s="126">
        <v>0</v>
      </c>
      <c r="J86" s="126">
        <v>0</v>
      </c>
      <c r="K86" s="126">
        <f t="shared" si="3"/>
        <v>396</v>
      </c>
      <c r="L86" s="140">
        <v>343</v>
      </c>
      <c r="M86" s="140">
        <v>38</v>
      </c>
      <c r="N86" s="140">
        <v>15</v>
      </c>
      <c r="O86" s="140">
        <v>0</v>
      </c>
      <c r="P86" s="126">
        <f t="shared" si="4"/>
        <v>32</v>
      </c>
      <c r="Q86" s="140">
        <v>7</v>
      </c>
      <c r="R86" s="140">
        <v>25</v>
      </c>
      <c r="S86" s="118"/>
    </row>
    <row r="87" spans="1:19" s="119" customFormat="1" ht="18" customHeight="1">
      <c r="A87" s="154">
        <v>52</v>
      </c>
      <c r="B87" s="161" t="s">
        <v>250</v>
      </c>
      <c r="C87" s="126">
        <v>0</v>
      </c>
      <c r="D87" s="126">
        <v>0</v>
      </c>
      <c r="E87" s="126">
        <v>0</v>
      </c>
      <c r="F87" s="126">
        <v>0</v>
      </c>
      <c r="G87" s="126">
        <v>0</v>
      </c>
      <c r="H87" s="126">
        <v>0</v>
      </c>
      <c r="I87" s="126">
        <v>0</v>
      </c>
      <c r="J87" s="126">
        <v>0</v>
      </c>
      <c r="K87" s="126">
        <f t="shared" si="3"/>
        <v>775</v>
      </c>
      <c r="L87" s="140">
        <v>659</v>
      </c>
      <c r="M87" s="140">
        <v>69</v>
      </c>
      <c r="N87" s="140">
        <v>47</v>
      </c>
      <c r="O87" s="140">
        <v>0</v>
      </c>
      <c r="P87" s="126">
        <f t="shared" si="4"/>
        <v>96</v>
      </c>
      <c r="Q87" s="140">
        <v>49</v>
      </c>
      <c r="R87" s="140">
        <v>47</v>
      </c>
      <c r="S87" s="118"/>
    </row>
    <row r="88" spans="1:19" s="119" customFormat="1" ht="18" customHeight="1">
      <c r="A88" s="154">
        <v>53</v>
      </c>
      <c r="B88" s="161" t="s">
        <v>251</v>
      </c>
      <c r="C88" s="126">
        <v>0</v>
      </c>
      <c r="D88" s="126">
        <v>0</v>
      </c>
      <c r="E88" s="126">
        <v>0</v>
      </c>
      <c r="F88" s="126">
        <v>0</v>
      </c>
      <c r="G88" s="126">
        <v>0</v>
      </c>
      <c r="H88" s="126">
        <v>0</v>
      </c>
      <c r="I88" s="126">
        <v>0</v>
      </c>
      <c r="J88" s="126">
        <v>0</v>
      </c>
      <c r="K88" s="126">
        <f t="shared" si="3"/>
        <v>500</v>
      </c>
      <c r="L88" s="140">
        <v>452</v>
      </c>
      <c r="M88" s="140">
        <v>32</v>
      </c>
      <c r="N88" s="140">
        <v>16</v>
      </c>
      <c r="O88" s="140">
        <v>1</v>
      </c>
      <c r="P88" s="126">
        <f t="shared" si="4"/>
        <v>15</v>
      </c>
      <c r="Q88" s="140">
        <v>0</v>
      </c>
      <c r="R88" s="140">
        <v>15</v>
      </c>
      <c r="S88" s="118"/>
    </row>
    <row r="89" spans="1:19" s="119" customFormat="1" ht="18" customHeight="1">
      <c r="A89" s="154">
        <v>54</v>
      </c>
      <c r="B89" s="161" t="s">
        <v>252</v>
      </c>
      <c r="C89" s="126">
        <v>0</v>
      </c>
      <c r="D89" s="126">
        <v>0</v>
      </c>
      <c r="E89" s="126">
        <v>0</v>
      </c>
      <c r="F89" s="126">
        <v>0</v>
      </c>
      <c r="G89" s="126">
        <v>0</v>
      </c>
      <c r="H89" s="126">
        <v>0</v>
      </c>
      <c r="I89" s="126">
        <v>0</v>
      </c>
      <c r="J89" s="126">
        <v>0</v>
      </c>
      <c r="K89" s="126">
        <f t="shared" si="3"/>
        <v>363</v>
      </c>
      <c r="L89" s="140">
        <v>245</v>
      </c>
      <c r="M89" s="140">
        <v>84</v>
      </c>
      <c r="N89" s="140">
        <v>34</v>
      </c>
      <c r="O89" s="140">
        <v>3</v>
      </c>
      <c r="P89" s="126">
        <f t="shared" si="4"/>
        <v>69</v>
      </c>
      <c r="Q89" s="140">
        <v>47</v>
      </c>
      <c r="R89" s="140">
        <v>22</v>
      </c>
      <c r="S89" s="118"/>
    </row>
    <row r="90" spans="1:19" s="119" customFormat="1" ht="18" customHeight="1">
      <c r="A90" s="154">
        <v>55</v>
      </c>
      <c r="B90" s="161" t="s">
        <v>253</v>
      </c>
      <c r="C90" s="126">
        <v>0</v>
      </c>
      <c r="D90" s="126">
        <v>0</v>
      </c>
      <c r="E90" s="126">
        <v>0</v>
      </c>
      <c r="F90" s="126">
        <v>0</v>
      </c>
      <c r="G90" s="126">
        <v>0</v>
      </c>
      <c r="H90" s="126">
        <v>0</v>
      </c>
      <c r="I90" s="126">
        <v>0</v>
      </c>
      <c r="J90" s="126">
        <v>0</v>
      </c>
      <c r="K90" s="126">
        <f t="shared" si="3"/>
        <v>2216</v>
      </c>
      <c r="L90" s="140">
        <v>1949</v>
      </c>
      <c r="M90" s="140">
        <v>218</v>
      </c>
      <c r="N90" s="140">
        <v>49</v>
      </c>
      <c r="O90" s="140">
        <v>0</v>
      </c>
      <c r="P90" s="126">
        <f t="shared" si="4"/>
        <v>178</v>
      </c>
      <c r="Q90" s="140">
        <v>129</v>
      </c>
      <c r="R90" s="140">
        <v>49</v>
      </c>
      <c r="S90" s="118"/>
    </row>
    <row r="91" spans="1:19" s="119" customFormat="1" ht="18" customHeight="1">
      <c r="A91" s="154">
        <v>56</v>
      </c>
      <c r="B91" s="161" t="s">
        <v>254</v>
      </c>
      <c r="C91" s="126">
        <v>0</v>
      </c>
      <c r="D91" s="126">
        <v>0</v>
      </c>
      <c r="E91" s="126">
        <v>0</v>
      </c>
      <c r="F91" s="126">
        <v>0</v>
      </c>
      <c r="G91" s="126">
        <v>0</v>
      </c>
      <c r="H91" s="126">
        <v>0</v>
      </c>
      <c r="I91" s="126">
        <v>0</v>
      </c>
      <c r="J91" s="126">
        <v>0</v>
      </c>
      <c r="K91" s="126">
        <f t="shared" si="3"/>
        <v>878</v>
      </c>
      <c r="L91" s="140">
        <v>712</v>
      </c>
      <c r="M91" s="140">
        <v>155</v>
      </c>
      <c r="N91" s="140">
        <v>11</v>
      </c>
      <c r="O91" s="140">
        <v>0</v>
      </c>
      <c r="P91" s="126">
        <f t="shared" si="4"/>
        <v>83</v>
      </c>
      <c r="Q91" s="140">
        <v>54</v>
      </c>
      <c r="R91" s="140">
        <v>29</v>
      </c>
      <c r="S91" s="118"/>
    </row>
    <row r="92" spans="1:19" s="119" customFormat="1" ht="18" customHeight="1">
      <c r="A92" s="154">
        <v>57</v>
      </c>
      <c r="B92" s="161" t="s">
        <v>255</v>
      </c>
      <c r="C92" s="126">
        <v>0</v>
      </c>
      <c r="D92" s="126">
        <v>0</v>
      </c>
      <c r="E92" s="126">
        <v>0</v>
      </c>
      <c r="F92" s="126">
        <v>0</v>
      </c>
      <c r="G92" s="126">
        <v>0</v>
      </c>
      <c r="H92" s="126">
        <v>0</v>
      </c>
      <c r="I92" s="126">
        <v>0</v>
      </c>
      <c r="J92" s="126">
        <v>0</v>
      </c>
      <c r="K92" s="126">
        <f t="shared" si="3"/>
        <v>711</v>
      </c>
      <c r="L92" s="140">
        <v>637</v>
      </c>
      <c r="M92" s="140">
        <v>53</v>
      </c>
      <c r="N92" s="140">
        <v>21</v>
      </c>
      <c r="O92" s="140">
        <v>2</v>
      </c>
      <c r="P92" s="126">
        <f t="shared" si="4"/>
        <v>58</v>
      </c>
      <c r="Q92" s="140">
        <v>7</v>
      </c>
      <c r="R92" s="140">
        <v>51</v>
      </c>
      <c r="S92" s="118"/>
    </row>
    <row r="93" spans="1:19" s="119" customFormat="1" ht="18" customHeight="1">
      <c r="A93" s="154">
        <v>58</v>
      </c>
      <c r="B93" s="161" t="s">
        <v>256</v>
      </c>
      <c r="C93" s="126">
        <v>0</v>
      </c>
      <c r="D93" s="126">
        <v>0</v>
      </c>
      <c r="E93" s="126">
        <v>0</v>
      </c>
      <c r="F93" s="126">
        <v>0</v>
      </c>
      <c r="G93" s="126">
        <v>0</v>
      </c>
      <c r="H93" s="126">
        <v>0</v>
      </c>
      <c r="I93" s="126">
        <v>0</v>
      </c>
      <c r="J93" s="126">
        <v>0</v>
      </c>
      <c r="K93" s="126">
        <f t="shared" si="3"/>
        <v>229</v>
      </c>
      <c r="L93" s="141">
        <v>118</v>
      </c>
      <c r="M93" s="141">
        <f>3+9+1+2+1+3+1+8+2+6+6+3+5+1+2+4+1+5+2+5+1+8+2+3+3+7+1</f>
        <v>95</v>
      </c>
      <c r="N93" s="140">
        <v>16</v>
      </c>
      <c r="O93" s="140">
        <v>5</v>
      </c>
      <c r="P93" s="126">
        <f t="shared" si="4"/>
        <v>105</v>
      </c>
      <c r="Q93" s="140">
        <v>64</v>
      </c>
      <c r="R93" s="140">
        <v>41</v>
      </c>
      <c r="S93" s="118"/>
    </row>
    <row r="94" spans="1:19" s="119" customFormat="1" ht="18" customHeight="1">
      <c r="A94" s="154">
        <v>59</v>
      </c>
      <c r="B94" s="161" t="s">
        <v>257</v>
      </c>
      <c r="C94" s="126">
        <v>0</v>
      </c>
      <c r="D94" s="126">
        <v>0</v>
      </c>
      <c r="E94" s="126">
        <v>0</v>
      </c>
      <c r="F94" s="126">
        <v>0</v>
      </c>
      <c r="G94" s="126">
        <v>0</v>
      </c>
      <c r="H94" s="126">
        <v>0</v>
      </c>
      <c r="I94" s="126">
        <v>0</v>
      </c>
      <c r="J94" s="126">
        <v>0</v>
      </c>
      <c r="K94" s="126">
        <f t="shared" si="3"/>
        <v>19</v>
      </c>
      <c r="L94" s="140">
        <v>0</v>
      </c>
      <c r="M94" s="141">
        <v>0</v>
      </c>
      <c r="N94" s="141">
        <v>19</v>
      </c>
      <c r="O94" s="141">
        <v>0</v>
      </c>
      <c r="P94" s="126">
        <f t="shared" si="4"/>
        <v>18</v>
      </c>
      <c r="Q94" s="140">
        <v>1</v>
      </c>
      <c r="R94" s="140">
        <v>17</v>
      </c>
      <c r="S94" s="118"/>
    </row>
    <row r="95" spans="1:19" s="119" customFormat="1" ht="18" customHeight="1">
      <c r="A95" s="154">
        <v>60</v>
      </c>
      <c r="B95" s="161" t="s">
        <v>258</v>
      </c>
      <c r="C95" s="126">
        <v>0</v>
      </c>
      <c r="D95" s="126">
        <v>0</v>
      </c>
      <c r="E95" s="126">
        <v>0</v>
      </c>
      <c r="F95" s="126">
        <v>0</v>
      </c>
      <c r="G95" s="126">
        <v>0</v>
      </c>
      <c r="H95" s="126">
        <v>0</v>
      </c>
      <c r="I95" s="126">
        <v>0</v>
      </c>
      <c r="J95" s="126">
        <v>0</v>
      </c>
      <c r="K95" s="126">
        <f t="shared" si="3"/>
        <v>569</v>
      </c>
      <c r="L95" s="140">
        <v>510</v>
      </c>
      <c r="M95" s="140">
        <v>25</v>
      </c>
      <c r="N95" s="140">
        <v>34</v>
      </c>
      <c r="O95" s="140">
        <v>2</v>
      </c>
      <c r="P95" s="126">
        <f t="shared" si="4"/>
        <v>33</v>
      </c>
      <c r="Q95" s="140">
        <v>11</v>
      </c>
      <c r="R95" s="140">
        <v>22</v>
      </c>
      <c r="S95" s="118"/>
    </row>
    <row r="96" spans="1:19" s="119" customFormat="1" ht="18" customHeight="1">
      <c r="A96" s="154">
        <v>61</v>
      </c>
      <c r="B96" s="161" t="s">
        <v>259</v>
      </c>
      <c r="C96" s="126">
        <v>0</v>
      </c>
      <c r="D96" s="126">
        <v>0</v>
      </c>
      <c r="E96" s="126">
        <v>0</v>
      </c>
      <c r="F96" s="126">
        <v>0</v>
      </c>
      <c r="G96" s="126">
        <v>0</v>
      </c>
      <c r="H96" s="126">
        <v>0</v>
      </c>
      <c r="I96" s="126">
        <v>0</v>
      </c>
      <c r="J96" s="126">
        <v>0</v>
      </c>
      <c r="K96" s="126">
        <f t="shared" si="3"/>
        <v>104</v>
      </c>
      <c r="L96" s="140">
        <v>67</v>
      </c>
      <c r="M96" s="140">
        <v>14</v>
      </c>
      <c r="N96" s="140">
        <v>23</v>
      </c>
      <c r="O96" s="140">
        <v>0</v>
      </c>
      <c r="P96" s="126">
        <f t="shared" si="4"/>
        <v>17</v>
      </c>
      <c r="Q96" s="140">
        <v>0</v>
      </c>
      <c r="R96" s="140">
        <v>17</v>
      </c>
      <c r="S96" s="118"/>
    </row>
    <row r="97" spans="1:19" s="119" customFormat="1" ht="18" customHeight="1">
      <c r="A97" s="154">
        <v>62</v>
      </c>
      <c r="B97" s="161" t="s">
        <v>260</v>
      </c>
      <c r="C97" s="126">
        <v>0</v>
      </c>
      <c r="D97" s="126">
        <v>0</v>
      </c>
      <c r="E97" s="126">
        <v>0</v>
      </c>
      <c r="F97" s="126">
        <v>0</v>
      </c>
      <c r="G97" s="126">
        <v>0</v>
      </c>
      <c r="H97" s="126">
        <v>0</v>
      </c>
      <c r="I97" s="126">
        <v>0</v>
      </c>
      <c r="J97" s="126">
        <v>0</v>
      </c>
      <c r="K97" s="126">
        <f t="shared" si="3"/>
        <v>295</v>
      </c>
      <c r="L97" s="140">
        <v>288</v>
      </c>
      <c r="M97" s="140">
        <v>7</v>
      </c>
      <c r="N97" s="140">
        <v>0</v>
      </c>
      <c r="O97" s="140">
        <v>0</v>
      </c>
      <c r="P97" s="126">
        <f t="shared" si="4"/>
        <v>340</v>
      </c>
      <c r="Q97" s="140">
        <v>301</v>
      </c>
      <c r="R97" s="140">
        <v>39</v>
      </c>
      <c r="S97" s="118"/>
    </row>
    <row r="98" spans="1:19" s="119" customFormat="1" ht="18" customHeight="1">
      <c r="A98" s="154">
        <v>63</v>
      </c>
      <c r="B98" s="161" t="s">
        <v>261</v>
      </c>
      <c r="C98" s="126">
        <v>0</v>
      </c>
      <c r="D98" s="126">
        <v>0</v>
      </c>
      <c r="E98" s="126">
        <v>0</v>
      </c>
      <c r="F98" s="126">
        <v>0</v>
      </c>
      <c r="G98" s="126">
        <v>0</v>
      </c>
      <c r="H98" s="126">
        <v>0</v>
      </c>
      <c r="I98" s="126">
        <v>0</v>
      </c>
      <c r="J98" s="126">
        <v>0</v>
      </c>
      <c r="K98" s="126">
        <f t="shared" si="3"/>
        <v>263</v>
      </c>
      <c r="L98" s="140">
        <v>213</v>
      </c>
      <c r="M98" s="140">
        <v>13</v>
      </c>
      <c r="N98" s="140">
        <v>37</v>
      </c>
      <c r="O98" s="140">
        <v>1</v>
      </c>
      <c r="P98" s="126">
        <f t="shared" si="4"/>
        <v>37</v>
      </c>
      <c r="Q98" s="140">
        <v>2</v>
      </c>
      <c r="R98" s="140">
        <v>35</v>
      </c>
      <c r="S98" s="118"/>
    </row>
    <row r="99" spans="1:19" s="10" customFormat="1" ht="12.75">
      <c r="A99"/>
      <c r="B99" s="96"/>
      <c r="C99" s="63"/>
      <c r="D99"/>
      <c r="E99"/>
      <c r="F99"/>
      <c r="G99"/>
      <c r="H99"/>
      <c r="I99"/>
      <c r="J99"/>
      <c r="K99" s="111"/>
      <c r="L99"/>
      <c r="M99"/>
      <c r="N99"/>
      <c r="O99"/>
      <c r="P99"/>
      <c r="Q99"/>
      <c r="R99"/>
      <c r="S99" s="9"/>
    </row>
    <row r="100" spans="1:19" s="210" customFormat="1" ht="12.75">
      <c r="A100" s="36"/>
      <c r="B100" s="47" t="s">
        <v>264</v>
      </c>
      <c r="C100" s="36" t="s">
        <v>286</v>
      </c>
      <c r="D100" s="36"/>
      <c r="E100" s="36"/>
      <c r="F100" s="36"/>
      <c r="G100" s="36"/>
      <c r="H100" s="36"/>
      <c r="I100" s="36"/>
      <c r="J100" s="36"/>
      <c r="K100" s="170"/>
      <c r="L100" s="36"/>
      <c r="M100" s="36"/>
      <c r="N100" s="36"/>
      <c r="O100" s="36"/>
      <c r="P100" s="36"/>
      <c r="Q100" s="36"/>
      <c r="R100" s="36"/>
      <c r="S100" s="213"/>
    </row>
    <row r="101" spans="1:19" s="211" customFormat="1" ht="12.75">
      <c r="A101" s="47"/>
      <c r="B101" s="210" t="s">
        <v>291</v>
      </c>
      <c r="C101" s="47" t="s">
        <v>294</v>
      </c>
      <c r="F101" s="47"/>
      <c r="G101" s="47"/>
      <c r="H101" s="47"/>
      <c r="I101" s="47"/>
      <c r="J101" s="47"/>
      <c r="K101" s="212"/>
      <c r="L101" s="47"/>
      <c r="M101" s="47"/>
      <c r="N101" s="47"/>
      <c r="O101" s="47"/>
      <c r="P101" s="47"/>
      <c r="Q101" s="47"/>
      <c r="R101" s="47"/>
      <c r="S101" s="214"/>
    </row>
    <row r="102" spans="1:19" s="211" customFormat="1" ht="16.5" customHeight="1">
      <c r="A102" s="47"/>
      <c r="B102" s="210" t="s">
        <v>289</v>
      </c>
      <c r="C102" s="47" t="s">
        <v>287</v>
      </c>
      <c r="F102" s="47"/>
      <c r="G102" s="47"/>
      <c r="H102" s="47"/>
      <c r="I102" s="47"/>
      <c r="J102" s="47"/>
      <c r="K102" s="212"/>
      <c r="L102" s="47"/>
      <c r="M102" s="47"/>
      <c r="N102" s="47"/>
      <c r="O102" s="47"/>
      <c r="P102" s="47"/>
      <c r="Q102" s="47"/>
      <c r="R102" s="47"/>
      <c r="S102" s="214"/>
    </row>
    <row r="103" spans="1:19" s="35" customFormat="1" ht="12.75">
      <c r="A103" s="22"/>
      <c r="B103" s="96"/>
      <c r="C103" s="22"/>
      <c r="D103" s="96"/>
      <c r="E103" s="22"/>
      <c r="F103" s="22"/>
      <c r="G103" s="22"/>
      <c r="H103" s="22"/>
      <c r="I103" s="22"/>
      <c r="J103" s="22"/>
      <c r="K103" s="169"/>
      <c r="L103" s="22"/>
      <c r="M103" s="22"/>
      <c r="N103" s="22"/>
      <c r="O103" s="22"/>
      <c r="P103" s="22"/>
      <c r="Q103" s="22"/>
      <c r="R103" s="22"/>
      <c r="S103" s="9"/>
    </row>
    <row r="104" spans="1:19" s="12" customFormat="1" ht="12.75">
      <c r="A104"/>
      <c r="B104" s="96"/>
      <c r="C104" s="63"/>
      <c r="D104"/>
      <c r="E104"/>
      <c r="F104"/>
      <c r="G104"/>
      <c r="H104"/>
      <c r="I104"/>
      <c r="J104"/>
      <c r="K104" s="111"/>
      <c r="L104"/>
      <c r="M104"/>
      <c r="N104"/>
      <c r="O104"/>
      <c r="P104"/>
      <c r="Q104"/>
      <c r="R104"/>
      <c r="S104" s="9"/>
    </row>
    <row r="105" spans="1:19" s="14" customFormat="1" ht="12.75">
      <c r="A105"/>
      <c r="B105" s="96"/>
      <c r="C105" s="63"/>
      <c r="D105"/>
      <c r="E105"/>
      <c r="F105"/>
      <c r="G105"/>
      <c r="H105"/>
      <c r="I105"/>
      <c r="J105"/>
      <c r="K105" s="111"/>
      <c r="L105"/>
      <c r="M105"/>
      <c r="N105"/>
      <c r="O105"/>
      <c r="P105"/>
      <c r="Q105"/>
      <c r="R105"/>
      <c r="S105" s="13"/>
    </row>
    <row r="106" spans="1:19" s="10" customFormat="1" ht="12.75">
      <c r="A106"/>
      <c r="B106" s="96"/>
      <c r="C106" s="63"/>
      <c r="D106"/>
      <c r="E106"/>
      <c r="F106"/>
      <c r="G106"/>
      <c r="H106"/>
      <c r="I106"/>
      <c r="J106"/>
      <c r="K106" s="111"/>
      <c r="L106"/>
      <c r="M106"/>
      <c r="N106"/>
      <c r="O106"/>
      <c r="P106"/>
      <c r="Q106"/>
      <c r="R106"/>
      <c r="S106" s="9"/>
    </row>
    <row r="107" spans="1:19" s="10" customFormat="1" ht="12.75">
      <c r="A107"/>
      <c r="B107" s="96"/>
      <c r="C107" s="63"/>
      <c r="D107"/>
      <c r="E107"/>
      <c r="F107"/>
      <c r="G107"/>
      <c r="H107"/>
      <c r="I107"/>
      <c r="J107"/>
      <c r="K107" s="111"/>
      <c r="L107"/>
      <c r="M107"/>
      <c r="N107"/>
      <c r="O107"/>
      <c r="P107"/>
      <c r="Q107"/>
      <c r="R107"/>
      <c r="S107" s="9"/>
    </row>
    <row r="108" spans="1:19" s="10" customFormat="1" ht="12.75">
      <c r="A108"/>
      <c r="B108" s="96"/>
      <c r="C108" s="63"/>
      <c r="D108"/>
      <c r="E108"/>
      <c r="F108"/>
      <c r="G108"/>
      <c r="H108"/>
      <c r="I108"/>
      <c r="J108"/>
      <c r="K108" s="111"/>
      <c r="L108"/>
      <c r="M108"/>
      <c r="N108"/>
      <c r="O108"/>
      <c r="P108"/>
      <c r="Q108"/>
      <c r="R108"/>
      <c r="S108" s="9"/>
    </row>
    <row r="109" spans="1:19" s="10" customFormat="1" ht="12.75">
      <c r="A109"/>
      <c r="B109" s="96"/>
      <c r="C109" s="63"/>
      <c r="D109"/>
      <c r="E109"/>
      <c r="F109"/>
      <c r="G109"/>
      <c r="H109"/>
      <c r="I109"/>
      <c r="J109"/>
      <c r="K109" s="111"/>
      <c r="L109"/>
      <c r="M109"/>
      <c r="N109"/>
      <c r="O109"/>
      <c r="P109"/>
      <c r="Q109"/>
      <c r="R109"/>
      <c r="S109" s="9"/>
    </row>
    <row r="110" spans="1:19" s="10" customFormat="1" ht="12.75">
      <c r="A110"/>
      <c r="B110" s="96"/>
      <c r="C110" s="63"/>
      <c r="D110"/>
      <c r="E110"/>
      <c r="F110"/>
      <c r="G110"/>
      <c r="H110"/>
      <c r="I110"/>
      <c r="J110"/>
      <c r="K110" s="111"/>
      <c r="L110"/>
      <c r="M110"/>
      <c r="N110"/>
      <c r="O110"/>
      <c r="P110"/>
      <c r="Q110"/>
      <c r="R110"/>
      <c r="S110" s="9"/>
    </row>
    <row r="111" spans="1:19" s="10" customFormat="1" ht="12.75">
      <c r="A111"/>
      <c r="B111" s="96"/>
      <c r="C111" s="63"/>
      <c r="D111"/>
      <c r="E111"/>
      <c r="F111"/>
      <c r="G111"/>
      <c r="H111"/>
      <c r="I111"/>
      <c r="J111"/>
      <c r="K111" s="111"/>
      <c r="L111"/>
      <c r="M111"/>
      <c r="N111"/>
      <c r="O111"/>
      <c r="P111"/>
      <c r="Q111"/>
      <c r="R111"/>
      <c r="S111" s="9"/>
    </row>
    <row r="112" spans="1:19" s="10" customFormat="1" ht="12.75">
      <c r="A112"/>
      <c r="B112" s="96"/>
      <c r="C112" s="63"/>
      <c r="D112"/>
      <c r="E112"/>
      <c r="F112"/>
      <c r="G112"/>
      <c r="H112"/>
      <c r="I112"/>
      <c r="J112"/>
      <c r="K112" s="111"/>
      <c r="L112"/>
      <c r="M112"/>
      <c r="N112"/>
      <c r="O112"/>
      <c r="P112"/>
      <c r="Q112"/>
      <c r="R112"/>
      <c r="S112" s="9"/>
    </row>
    <row r="113" spans="1:19" s="35" customFormat="1" ht="12.75">
      <c r="A113"/>
      <c r="B113" s="96"/>
      <c r="C113" s="63"/>
      <c r="D113"/>
      <c r="E113"/>
      <c r="F113"/>
      <c r="G113"/>
      <c r="H113"/>
      <c r="I113"/>
      <c r="J113"/>
      <c r="K113" s="111"/>
      <c r="L113"/>
      <c r="M113"/>
      <c r="N113"/>
      <c r="O113"/>
      <c r="P113"/>
      <c r="Q113"/>
      <c r="R113"/>
      <c r="S113" s="9"/>
    </row>
    <row r="114" spans="1:19" s="10" customFormat="1" ht="16.5" customHeight="1">
      <c r="A114"/>
      <c r="B114" s="96"/>
      <c r="C114" s="63"/>
      <c r="D114"/>
      <c r="E114"/>
      <c r="F114"/>
      <c r="G114"/>
      <c r="H114"/>
      <c r="I114"/>
      <c r="J114"/>
      <c r="K114" s="111"/>
      <c r="L114"/>
      <c r="M114"/>
      <c r="N114"/>
      <c r="O114"/>
      <c r="P114"/>
      <c r="Q114"/>
      <c r="R114"/>
      <c r="S114" s="9"/>
    </row>
    <row r="115" spans="1:19" s="10" customFormat="1" ht="12.75">
      <c r="A115"/>
      <c r="B115" s="96"/>
      <c r="C115" s="63"/>
      <c r="D115"/>
      <c r="E115"/>
      <c r="F115"/>
      <c r="G115"/>
      <c r="H115"/>
      <c r="I115"/>
      <c r="J115"/>
      <c r="K115" s="111"/>
      <c r="L115"/>
      <c r="M115"/>
      <c r="N115"/>
      <c r="O115"/>
      <c r="P115"/>
      <c r="Q115"/>
      <c r="R115"/>
      <c r="S115" s="9"/>
    </row>
    <row r="116" spans="1:19" s="10" customFormat="1" ht="12.75">
      <c r="A116"/>
      <c r="B116" s="96"/>
      <c r="C116" s="63"/>
      <c r="D116"/>
      <c r="E116"/>
      <c r="F116"/>
      <c r="G116"/>
      <c r="H116"/>
      <c r="I116"/>
      <c r="J116"/>
      <c r="K116" s="111"/>
      <c r="L116"/>
      <c r="M116"/>
      <c r="N116"/>
      <c r="O116"/>
      <c r="P116"/>
      <c r="Q116"/>
      <c r="R116"/>
      <c r="S116" s="9"/>
    </row>
    <row r="117" spans="1:19" s="10" customFormat="1" ht="12.75">
      <c r="A117"/>
      <c r="B117" s="96"/>
      <c r="C117" s="63"/>
      <c r="D117"/>
      <c r="E117"/>
      <c r="F117"/>
      <c r="G117"/>
      <c r="H117"/>
      <c r="I117"/>
      <c r="J117"/>
      <c r="K117" s="111"/>
      <c r="L117"/>
      <c r="M117"/>
      <c r="N117"/>
      <c r="O117"/>
      <c r="P117"/>
      <c r="Q117"/>
      <c r="R117"/>
      <c r="S117" s="9"/>
    </row>
    <row r="118" spans="1:19" s="10" customFormat="1" ht="12.75">
      <c r="A118"/>
      <c r="B118" s="96"/>
      <c r="C118" s="63"/>
      <c r="D118"/>
      <c r="E118"/>
      <c r="F118"/>
      <c r="G118"/>
      <c r="H118"/>
      <c r="I118"/>
      <c r="J118"/>
      <c r="K118" s="111"/>
      <c r="L118"/>
      <c r="M118"/>
      <c r="N118"/>
      <c r="O118"/>
      <c r="P118"/>
      <c r="Q118"/>
      <c r="R118"/>
      <c r="S118" s="9"/>
    </row>
    <row r="119" spans="1:19" s="10" customFormat="1" ht="12.75">
      <c r="A119"/>
      <c r="B119" s="96"/>
      <c r="C119" s="63"/>
      <c r="D119"/>
      <c r="E119"/>
      <c r="F119"/>
      <c r="G119"/>
      <c r="H119"/>
      <c r="I119"/>
      <c r="J119"/>
      <c r="K119" s="111"/>
      <c r="L119"/>
      <c r="M119"/>
      <c r="N119"/>
      <c r="O119"/>
      <c r="P119"/>
      <c r="Q119"/>
      <c r="R119"/>
      <c r="S119" s="9"/>
    </row>
    <row r="120" spans="1:19" s="10" customFormat="1" ht="12.75">
      <c r="A120"/>
      <c r="B120" s="96"/>
      <c r="C120" s="63"/>
      <c r="D120"/>
      <c r="E120"/>
      <c r="F120"/>
      <c r="G120"/>
      <c r="H120"/>
      <c r="I120"/>
      <c r="J120"/>
      <c r="K120" s="111"/>
      <c r="L120"/>
      <c r="M120"/>
      <c r="N120"/>
      <c r="O120"/>
      <c r="P120"/>
      <c r="Q120"/>
      <c r="R120"/>
      <c r="S120" s="9"/>
    </row>
    <row r="121" spans="1:19" s="10" customFormat="1" ht="12.75">
      <c r="A121"/>
      <c r="B121" s="96"/>
      <c r="C121" s="63"/>
      <c r="D121"/>
      <c r="E121"/>
      <c r="F121"/>
      <c r="G121"/>
      <c r="H121"/>
      <c r="I121"/>
      <c r="J121"/>
      <c r="K121" s="111"/>
      <c r="L121"/>
      <c r="M121"/>
      <c r="N121"/>
      <c r="O121"/>
      <c r="P121"/>
      <c r="Q121"/>
      <c r="R121"/>
      <c r="S121" s="9"/>
    </row>
    <row r="122" spans="1:19" s="10" customFormat="1" ht="12.75">
      <c r="A122"/>
      <c r="B122" s="96"/>
      <c r="C122" s="63"/>
      <c r="D122"/>
      <c r="E122"/>
      <c r="F122"/>
      <c r="G122"/>
      <c r="H122"/>
      <c r="I122"/>
      <c r="J122"/>
      <c r="K122" s="111"/>
      <c r="L122"/>
      <c r="M122"/>
      <c r="N122"/>
      <c r="O122"/>
      <c r="P122"/>
      <c r="Q122"/>
      <c r="R122"/>
      <c r="S122" s="9"/>
    </row>
    <row r="123" spans="1:19" s="10" customFormat="1" ht="12.75">
      <c r="A123"/>
      <c r="B123" s="96"/>
      <c r="C123" s="63"/>
      <c r="D123"/>
      <c r="E123"/>
      <c r="F123"/>
      <c r="G123"/>
      <c r="H123"/>
      <c r="I123"/>
      <c r="J123"/>
      <c r="K123" s="111"/>
      <c r="L123"/>
      <c r="M123"/>
      <c r="N123"/>
      <c r="O123"/>
      <c r="P123"/>
      <c r="Q123"/>
      <c r="R123"/>
      <c r="S123" s="9"/>
    </row>
    <row r="124" spans="1:19" s="11" customFormat="1" ht="12.75">
      <c r="A124"/>
      <c r="B124" s="96"/>
      <c r="C124" s="63"/>
      <c r="D124"/>
      <c r="E124"/>
      <c r="F124"/>
      <c r="G124"/>
      <c r="H124"/>
      <c r="I124"/>
      <c r="J124"/>
      <c r="K124" s="111"/>
      <c r="L124"/>
      <c r="M124"/>
      <c r="N124"/>
      <c r="O124"/>
      <c r="P124"/>
      <c r="Q124"/>
      <c r="R124"/>
      <c r="S124" s="9"/>
    </row>
    <row r="125" spans="1:19" s="10" customFormat="1" ht="12.75">
      <c r="A125"/>
      <c r="B125" s="96"/>
      <c r="C125" s="63"/>
      <c r="D125"/>
      <c r="E125"/>
      <c r="F125"/>
      <c r="G125"/>
      <c r="H125"/>
      <c r="I125"/>
      <c r="J125"/>
      <c r="K125" s="111"/>
      <c r="L125"/>
      <c r="M125"/>
      <c r="N125"/>
      <c r="O125"/>
      <c r="P125"/>
      <c r="Q125"/>
      <c r="R125"/>
      <c r="S125" s="9"/>
    </row>
    <row r="126" spans="1:19" s="10" customFormat="1" ht="12.75">
      <c r="A126"/>
      <c r="B126" s="96"/>
      <c r="C126" s="63"/>
      <c r="D126"/>
      <c r="E126"/>
      <c r="F126"/>
      <c r="G126"/>
      <c r="H126"/>
      <c r="I126"/>
      <c r="J126"/>
      <c r="K126" s="111"/>
      <c r="L126"/>
      <c r="M126"/>
      <c r="N126"/>
      <c r="O126"/>
      <c r="P126"/>
      <c r="Q126"/>
      <c r="R126"/>
      <c r="S126" s="9"/>
    </row>
    <row r="127" spans="1:19" s="30" customFormat="1" ht="12.75">
      <c r="A127"/>
      <c r="B127" s="96"/>
      <c r="C127" s="63"/>
      <c r="D127"/>
      <c r="E127"/>
      <c r="F127"/>
      <c r="G127"/>
      <c r="H127"/>
      <c r="I127"/>
      <c r="J127"/>
      <c r="K127" s="111"/>
      <c r="L127"/>
      <c r="M127"/>
      <c r="N127"/>
      <c r="O127"/>
      <c r="P127"/>
      <c r="Q127"/>
      <c r="R127"/>
      <c r="S127" s="29"/>
    </row>
    <row r="128" spans="1:19" s="11" customFormat="1" ht="12.75">
      <c r="A128"/>
      <c r="B128" s="96"/>
      <c r="C128" s="63"/>
      <c r="D128"/>
      <c r="E128"/>
      <c r="F128"/>
      <c r="G128"/>
      <c r="H128"/>
      <c r="I128"/>
      <c r="J128"/>
      <c r="K128" s="111"/>
      <c r="L128"/>
      <c r="M128"/>
      <c r="N128"/>
      <c r="O128"/>
      <c r="P128"/>
      <c r="Q128"/>
      <c r="R128"/>
      <c r="S128" s="15"/>
    </row>
    <row r="129" spans="1:19" s="10" customFormat="1" ht="12.75">
      <c r="A129"/>
      <c r="B129" s="96"/>
      <c r="C129" s="63"/>
      <c r="D129"/>
      <c r="E129"/>
      <c r="F129"/>
      <c r="G129"/>
      <c r="H129"/>
      <c r="I129"/>
      <c r="J129"/>
      <c r="K129" s="111"/>
      <c r="L129"/>
      <c r="M129"/>
      <c r="N129"/>
      <c r="O129"/>
      <c r="P129"/>
      <c r="Q129"/>
      <c r="R129"/>
      <c r="S129" s="9"/>
    </row>
    <row r="130" spans="1:19" s="10" customFormat="1" ht="12.75">
      <c r="A130"/>
      <c r="B130" s="96"/>
      <c r="C130" s="63"/>
      <c r="D130"/>
      <c r="E130"/>
      <c r="F130"/>
      <c r="G130"/>
      <c r="H130"/>
      <c r="I130"/>
      <c r="J130"/>
      <c r="K130" s="111"/>
      <c r="L130"/>
      <c r="M130"/>
      <c r="N130"/>
      <c r="O130"/>
      <c r="P130"/>
      <c r="Q130"/>
      <c r="R130"/>
      <c r="S130" s="9"/>
    </row>
    <row r="131" spans="1:19" s="11" customFormat="1" ht="12.75">
      <c r="A131"/>
      <c r="B131" s="96"/>
      <c r="C131" s="63"/>
      <c r="D131"/>
      <c r="E131"/>
      <c r="F131"/>
      <c r="G131"/>
      <c r="H131"/>
      <c r="I131"/>
      <c r="J131"/>
      <c r="K131" s="111"/>
      <c r="L131"/>
      <c r="M131"/>
      <c r="N131"/>
      <c r="O131"/>
      <c r="P131"/>
      <c r="Q131"/>
      <c r="R131"/>
      <c r="S131" s="15"/>
    </row>
    <row r="132" spans="1:19" s="10" customFormat="1" ht="12.75">
      <c r="A132"/>
      <c r="B132" s="96"/>
      <c r="C132" s="63"/>
      <c r="D132"/>
      <c r="E132"/>
      <c r="F132"/>
      <c r="G132"/>
      <c r="H132"/>
      <c r="I132"/>
      <c r="J132"/>
      <c r="K132" s="111"/>
      <c r="L132"/>
      <c r="M132"/>
      <c r="N132"/>
      <c r="O132"/>
      <c r="P132"/>
      <c r="Q132"/>
      <c r="R132"/>
      <c r="S132" s="9"/>
    </row>
    <row r="133" spans="1:19" s="10" customFormat="1" ht="12.75">
      <c r="A133"/>
      <c r="B133" s="96"/>
      <c r="C133" s="63"/>
      <c r="D133"/>
      <c r="E133"/>
      <c r="F133"/>
      <c r="G133"/>
      <c r="H133"/>
      <c r="I133"/>
      <c r="J133"/>
      <c r="K133" s="111"/>
      <c r="L133"/>
      <c r="M133"/>
      <c r="N133"/>
      <c r="O133"/>
      <c r="P133"/>
      <c r="Q133"/>
      <c r="R133"/>
      <c r="S133" s="9"/>
    </row>
    <row r="134" spans="1:19" s="10" customFormat="1" ht="12.75">
      <c r="A134"/>
      <c r="B134" s="96"/>
      <c r="C134" s="63"/>
      <c r="D134"/>
      <c r="E134"/>
      <c r="F134"/>
      <c r="G134"/>
      <c r="H134"/>
      <c r="I134"/>
      <c r="J134"/>
      <c r="K134" s="111"/>
      <c r="L134"/>
      <c r="M134"/>
      <c r="N134"/>
      <c r="O134"/>
      <c r="P134"/>
      <c r="Q134"/>
      <c r="R134"/>
      <c r="S134" s="9"/>
    </row>
    <row r="135" spans="1:19" s="10" customFormat="1" ht="12.75">
      <c r="A135"/>
      <c r="B135" s="96"/>
      <c r="C135" s="63"/>
      <c r="D135"/>
      <c r="E135"/>
      <c r="F135"/>
      <c r="G135"/>
      <c r="H135"/>
      <c r="I135"/>
      <c r="J135"/>
      <c r="K135" s="111"/>
      <c r="L135"/>
      <c r="M135"/>
      <c r="N135"/>
      <c r="O135"/>
      <c r="P135"/>
      <c r="Q135"/>
      <c r="R135"/>
      <c r="S135" s="9"/>
    </row>
    <row r="136" spans="1:19" s="11" customFormat="1" ht="12.75">
      <c r="A136"/>
      <c r="B136" s="96"/>
      <c r="C136" s="63"/>
      <c r="D136"/>
      <c r="E136"/>
      <c r="F136"/>
      <c r="G136"/>
      <c r="H136"/>
      <c r="I136"/>
      <c r="J136"/>
      <c r="K136" s="111"/>
      <c r="L136"/>
      <c r="M136"/>
      <c r="N136"/>
      <c r="O136"/>
      <c r="P136"/>
      <c r="Q136"/>
      <c r="R136"/>
      <c r="S136" s="15"/>
    </row>
    <row r="137" spans="1:19" s="10" customFormat="1" ht="12.75">
      <c r="A137"/>
      <c r="B137" s="96"/>
      <c r="C137" s="63"/>
      <c r="D137"/>
      <c r="E137"/>
      <c r="F137"/>
      <c r="G137"/>
      <c r="H137"/>
      <c r="I137"/>
      <c r="J137"/>
      <c r="K137" s="111"/>
      <c r="L137"/>
      <c r="M137"/>
      <c r="N137"/>
      <c r="O137"/>
      <c r="P137"/>
      <c r="Q137"/>
      <c r="R137"/>
      <c r="S137" s="9"/>
    </row>
    <row r="138" spans="1:19" s="10" customFormat="1" ht="12.75">
      <c r="A138"/>
      <c r="B138" s="96"/>
      <c r="C138" s="63"/>
      <c r="D138"/>
      <c r="E138"/>
      <c r="F138"/>
      <c r="G138"/>
      <c r="H138"/>
      <c r="I138"/>
      <c r="J138"/>
      <c r="K138" s="111"/>
      <c r="L138"/>
      <c r="M138"/>
      <c r="N138"/>
      <c r="O138"/>
      <c r="P138"/>
      <c r="Q138"/>
      <c r="R138"/>
      <c r="S138" s="9"/>
    </row>
    <row r="139" spans="1:19" s="10" customFormat="1" ht="12.75">
      <c r="A139"/>
      <c r="B139" s="96"/>
      <c r="C139" s="63"/>
      <c r="D139"/>
      <c r="E139"/>
      <c r="F139"/>
      <c r="G139"/>
      <c r="H139"/>
      <c r="I139"/>
      <c r="J139"/>
      <c r="K139" s="111"/>
      <c r="L139"/>
      <c r="M139"/>
      <c r="N139"/>
      <c r="O139"/>
      <c r="P139"/>
      <c r="Q139"/>
      <c r="R139"/>
      <c r="S139" s="9"/>
    </row>
    <row r="140" spans="1:19" s="10" customFormat="1" ht="12.75">
      <c r="A140"/>
      <c r="B140" s="96"/>
      <c r="C140" s="63"/>
      <c r="D140"/>
      <c r="E140"/>
      <c r="F140"/>
      <c r="G140"/>
      <c r="H140"/>
      <c r="I140"/>
      <c r="J140"/>
      <c r="K140" s="111"/>
      <c r="L140"/>
      <c r="M140"/>
      <c r="N140"/>
      <c r="O140"/>
      <c r="P140"/>
      <c r="Q140"/>
      <c r="R140"/>
      <c r="S140" s="9"/>
    </row>
    <row r="141" spans="1:19" s="10" customFormat="1" ht="12.75">
      <c r="A141"/>
      <c r="B141" s="96"/>
      <c r="C141" s="63"/>
      <c r="D141"/>
      <c r="E141"/>
      <c r="F141"/>
      <c r="G141"/>
      <c r="H141"/>
      <c r="I141"/>
      <c r="J141"/>
      <c r="K141" s="111"/>
      <c r="L141"/>
      <c r="M141"/>
      <c r="N141"/>
      <c r="O141"/>
      <c r="P141"/>
      <c r="Q141"/>
      <c r="R141"/>
      <c r="S141" s="9"/>
    </row>
    <row r="142" spans="1:19" s="10" customFormat="1" ht="74.25" customHeight="1">
      <c r="A142"/>
      <c r="B142" s="96"/>
      <c r="C142" s="63"/>
      <c r="D142"/>
      <c r="E142"/>
      <c r="F142"/>
      <c r="G142"/>
      <c r="H142"/>
      <c r="I142"/>
      <c r="J142"/>
      <c r="K142" s="111"/>
      <c r="L142"/>
      <c r="M142"/>
      <c r="N142"/>
      <c r="O142"/>
      <c r="P142"/>
      <c r="Q142"/>
      <c r="R142"/>
      <c r="S142" s="9"/>
    </row>
    <row r="143" spans="1:19" s="11" customFormat="1" ht="12.75">
      <c r="A143"/>
      <c r="B143" s="96"/>
      <c r="C143" s="63"/>
      <c r="D143"/>
      <c r="E143"/>
      <c r="F143"/>
      <c r="G143"/>
      <c r="H143"/>
      <c r="I143"/>
      <c r="J143"/>
      <c r="K143" s="111"/>
      <c r="L143"/>
      <c r="M143"/>
      <c r="N143"/>
      <c r="O143"/>
      <c r="P143"/>
      <c r="Q143"/>
      <c r="R143"/>
      <c r="S143" s="15"/>
    </row>
    <row r="144" spans="1:19" s="10" customFormat="1" ht="12.75">
      <c r="A144"/>
      <c r="B144" s="96"/>
      <c r="C144" s="63"/>
      <c r="D144"/>
      <c r="E144"/>
      <c r="F144"/>
      <c r="G144"/>
      <c r="H144"/>
      <c r="I144"/>
      <c r="J144"/>
      <c r="K144" s="111"/>
      <c r="L144"/>
      <c r="M144"/>
      <c r="N144"/>
      <c r="O144"/>
      <c r="P144"/>
      <c r="Q144"/>
      <c r="R144"/>
      <c r="S144" s="9"/>
    </row>
    <row r="145" spans="1:19" s="35" customFormat="1" ht="12.75">
      <c r="A145"/>
      <c r="B145" s="96"/>
      <c r="C145" s="63"/>
      <c r="D145"/>
      <c r="E145"/>
      <c r="F145"/>
      <c r="G145"/>
      <c r="H145"/>
      <c r="I145"/>
      <c r="J145"/>
      <c r="K145" s="111"/>
      <c r="L145"/>
      <c r="M145"/>
      <c r="N145"/>
      <c r="O145"/>
      <c r="P145"/>
      <c r="Q145"/>
      <c r="R145"/>
      <c r="S145" s="9"/>
    </row>
    <row r="146" spans="1:19" s="11" customFormat="1" ht="12.75">
      <c r="A146"/>
      <c r="B146" s="96"/>
      <c r="C146" s="63"/>
      <c r="D146"/>
      <c r="E146"/>
      <c r="F146"/>
      <c r="G146"/>
      <c r="H146"/>
      <c r="I146"/>
      <c r="J146"/>
      <c r="K146" s="111"/>
      <c r="L146"/>
      <c r="M146"/>
      <c r="N146"/>
      <c r="O146"/>
      <c r="P146"/>
      <c r="Q146"/>
      <c r="R146"/>
      <c r="S146" s="9"/>
    </row>
    <row r="147" spans="11:18" ht="12.75">
      <c r="K147" s="111"/>
      <c r="L147"/>
      <c r="M147"/>
      <c r="N147"/>
      <c r="O147"/>
      <c r="P147"/>
      <c r="Q147"/>
      <c r="R147"/>
    </row>
  </sheetData>
  <sheetProtection/>
  <mergeCells count="31">
    <mergeCell ref="A13:B13"/>
    <mergeCell ref="A14:B14"/>
    <mergeCell ref="A35:B35"/>
    <mergeCell ref="J6:J11"/>
    <mergeCell ref="A6:B11"/>
    <mergeCell ref="A12:B12"/>
    <mergeCell ref="E8:E11"/>
    <mergeCell ref="A3:R3"/>
    <mergeCell ref="A4:R4"/>
    <mergeCell ref="F8:F11"/>
    <mergeCell ref="G8:G11"/>
    <mergeCell ref="H8:H11"/>
    <mergeCell ref="I8:I11"/>
    <mergeCell ref="K6:O6"/>
    <mergeCell ref="P6:R6"/>
    <mergeCell ref="P7:P11"/>
    <mergeCell ref="L8:L11"/>
    <mergeCell ref="M8:M11"/>
    <mergeCell ref="N8:O8"/>
    <mergeCell ref="Q8:Q11"/>
    <mergeCell ref="R8:R11"/>
    <mergeCell ref="A2:R2"/>
    <mergeCell ref="D7:I7"/>
    <mergeCell ref="C6:I6"/>
    <mergeCell ref="L7:O7"/>
    <mergeCell ref="Q7:R7"/>
    <mergeCell ref="C7:C11"/>
    <mergeCell ref="D8:D11"/>
    <mergeCell ref="N9:N11"/>
    <mergeCell ref="O9:O11"/>
    <mergeCell ref="K7:K11"/>
  </mergeCells>
  <printOptions/>
  <pageMargins left="0.75" right="0.25" top="0.5" bottom="0.5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84"/>
  <sheetViews>
    <sheetView view="pageLayout" workbookViewId="0" topLeftCell="A61">
      <selection activeCell="G24" sqref="G24:H24"/>
    </sheetView>
  </sheetViews>
  <sheetFormatPr defaultColWidth="9.140625" defaultRowHeight="12.75"/>
  <cols>
    <col min="1" max="1" width="4.140625" style="36" customWidth="1"/>
    <col min="2" max="2" width="28.8515625" style="36" customWidth="1"/>
    <col min="3" max="3" width="12.8515625" style="170" bestFit="1" customWidth="1"/>
    <col min="4" max="4" width="10.140625" style="170" customWidth="1"/>
    <col min="5" max="5" width="11.421875" style="170" customWidth="1"/>
    <col min="6" max="6" width="11.57421875" style="170" customWidth="1"/>
    <col min="7" max="7" width="12.7109375" style="170" customWidth="1"/>
    <col min="8" max="8" width="12.00390625" style="170" customWidth="1"/>
    <col min="9" max="9" width="11.57421875" style="170" bestFit="1" customWidth="1"/>
    <col min="10" max="10" width="13.57421875" style="170" customWidth="1"/>
    <col min="11" max="11" width="10.7109375" style="36" customWidth="1"/>
    <col min="12" max="12" width="12.421875" style="36" customWidth="1"/>
    <col min="13" max="16384" width="9.140625" style="36" customWidth="1"/>
  </cols>
  <sheetData>
    <row r="1" spans="1:15" ht="18.75">
      <c r="A1" s="365" t="s">
        <v>7</v>
      </c>
      <c r="B1" s="365"/>
      <c r="C1" s="165"/>
      <c r="D1" s="165"/>
      <c r="E1" s="165"/>
      <c r="F1" s="165"/>
      <c r="G1" s="165"/>
      <c r="H1" s="165"/>
      <c r="I1" s="165"/>
      <c r="J1" s="165"/>
      <c r="K1"/>
      <c r="L1"/>
      <c r="M1"/>
      <c r="N1"/>
      <c r="O1"/>
    </row>
    <row r="2" spans="1:15" ht="18.75" customHeight="1">
      <c r="A2" s="379" t="s">
        <v>115</v>
      </c>
      <c r="B2" s="379"/>
      <c r="C2" s="379"/>
      <c r="D2" s="379"/>
      <c r="E2" s="379"/>
      <c r="F2" s="379"/>
      <c r="G2" s="379"/>
      <c r="H2" s="379"/>
      <c r="I2" s="379"/>
      <c r="J2" s="379"/>
      <c r="K2" s="48"/>
      <c r="L2" s="48"/>
      <c r="M2" s="48"/>
      <c r="N2" s="48"/>
      <c r="O2" s="48"/>
    </row>
    <row r="3" spans="1:15" ht="18.75">
      <c r="A3" s="466" t="s">
        <v>150</v>
      </c>
      <c r="B3" s="466"/>
      <c r="C3" s="466"/>
      <c r="D3" s="466"/>
      <c r="E3" s="466"/>
      <c r="F3" s="466"/>
      <c r="G3" s="466"/>
      <c r="H3" s="466"/>
      <c r="I3" s="466"/>
      <c r="J3" s="466"/>
      <c r="K3" s="52"/>
      <c r="L3" s="52"/>
      <c r="M3" s="52"/>
      <c r="N3" s="52"/>
      <c r="O3" s="52"/>
    </row>
    <row r="4" spans="1:15" ht="18.75">
      <c r="A4" s="366" t="s">
        <v>171</v>
      </c>
      <c r="B4" s="367"/>
      <c r="C4" s="367"/>
      <c r="D4" s="367"/>
      <c r="E4" s="367"/>
      <c r="F4" s="367"/>
      <c r="G4" s="367"/>
      <c r="H4" s="367"/>
      <c r="I4" s="367"/>
      <c r="J4" s="367"/>
      <c r="K4" s="50"/>
      <c r="L4" s="50"/>
      <c r="M4" s="50"/>
      <c r="N4" s="50"/>
      <c r="O4" s="50"/>
    </row>
    <row r="5" spans="1:12" ht="12.75">
      <c r="A5" s="55"/>
      <c r="B5" s="55"/>
      <c r="C5" s="166"/>
      <c r="D5" s="166"/>
      <c r="E5" s="166"/>
      <c r="F5" s="166"/>
      <c r="G5" s="166"/>
      <c r="H5" s="166"/>
      <c r="I5" s="166"/>
      <c r="J5" s="166"/>
      <c r="K5" s="55"/>
      <c r="L5" s="55"/>
    </row>
    <row r="6" spans="1:12" ht="52.5" customHeight="1">
      <c r="A6" s="471"/>
      <c r="B6" s="472"/>
      <c r="C6" s="465" t="s">
        <v>321</v>
      </c>
      <c r="D6" s="465"/>
      <c r="E6" s="465" t="s">
        <v>167</v>
      </c>
      <c r="F6" s="465"/>
      <c r="G6" s="465" t="s">
        <v>168</v>
      </c>
      <c r="H6" s="465"/>
      <c r="I6" s="463" t="s">
        <v>90</v>
      </c>
      <c r="J6" s="464"/>
      <c r="K6" s="55"/>
      <c r="L6" s="55"/>
    </row>
    <row r="7" spans="1:12" ht="25.5">
      <c r="A7" s="473"/>
      <c r="B7" s="474"/>
      <c r="C7" s="167" t="s">
        <v>32</v>
      </c>
      <c r="D7" s="167" t="s">
        <v>33</v>
      </c>
      <c r="E7" s="167" t="s">
        <v>32</v>
      </c>
      <c r="F7" s="167" t="s">
        <v>33</v>
      </c>
      <c r="G7" s="167" t="s">
        <v>32</v>
      </c>
      <c r="H7" s="167" t="s">
        <v>33</v>
      </c>
      <c r="I7" s="167" t="s">
        <v>32</v>
      </c>
      <c r="J7" s="167" t="s">
        <v>33</v>
      </c>
      <c r="K7" s="54"/>
      <c r="L7" s="55"/>
    </row>
    <row r="8" spans="1:12" ht="12.75">
      <c r="A8" s="475" t="s">
        <v>40</v>
      </c>
      <c r="B8" s="358"/>
      <c r="C8" s="168">
        <v>1</v>
      </c>
      <c r="D8" s="168">
        <v>2</v>
      </c>
      <c r="E8" s="168">
        <v>3</v>
      </c>
      <c r="F8" s="168">
        <v>4</v>
      </c>
      <c r="G8" s="168">
        <v>5</v>
      </c>
      <c r="H8" s="168">
        <v>6</v>
      </c>
      <c r="I8" s="168">
        <v>7</v>
      </c>
      <c r="J8" s="168">
        <v>8</v>
      </c>
      <c r="K8" s="76"/>
      <c r="L8" s="55"/>
    </row>
    <row r="9" spans="1:13" ht="15" customHeight="1">
      <c r="A9" s="467" t="s">
        <v>54</v>
      </c>
      <c r="B9" s="468"/>
      <c r="C9" s="285">
        <f>C10+C14+C17</f>
        <v>72390</v>
      </c>
      <c r="D9" s="285">
        <f aca="true" t="shared" si="0" ref="D9:J9">D10+D14+D17</f>
        <v>72390</v>
      </c>
      <c r="E9" s="285">
        <f t="shared" si="0"/>
        <v>0</v>
      </c>
      <c r="F9" s="285">
        <f t="shared" si="0"/>
        <v>0</v>
      </c>
      <c r="G9" s="285">
        <f t="shared" si="0"/>
        <v>425955</v>
      </c>
      <c r="H9" s="285">
        <f t="shared" si="0"/>
        <v>443248</v>
      </c>
      <c r="I9" s="285">
        <f t="shared" si="0"/>
        <v>9273</v>
      </c>
      <c r="J9" s="285">
        <f t="shared" si="0"/>
        <v>9313</v>
      </c>
      <c r="K9" s="33"/>
      <c r="L9" s="33"/>
      <c r="M9" s="56"/>
    </row>
    <row r="10" spans="1:13" ht="27" customHeight="1">
      <c r="A10" s="469" t="s">
        <v>91</v>
      </c>
      <c r="B10" s="470"/>
      <c r="C10" s="220">
        <f>SUM(C11:C13)</f>
        <v>72390</v>
      </c>
      <c r="D10" s="220">
        <f aca="true" t="shared" si="1" ref="D10:J10">SUM(D11:D13)</f>
        <v>72390</v>
      </c>
      <c r="E10" s="220">
        <f t="shared" si="1"/>
        <v>0</v>
      </c>
      <c r="F10" s="220">
        <f t="shared" si="1"/>
        <v>0</v>
      </c>
      <c r="G10" s="220">
        <f t="shared" si="1"/>
        <v>0</v>
      </c>
      <c r="H10" s="220">
        <f t="shared" si="1"/>
        <v>0</v>
      </c>
      <c r="I10" s="220">
        <f t="shared" si="1"/>
        <v>2434</v>
      </c>
      <c r="J10" s="220">
        <f t="shared" si="1"/>
        <v>2434</v>
      </c>
      <c r="K10" s="33"/>
      <c r="L10" s="33"/>
      <c r="M10" s="56"/>
    </row>
    <row r="11" spans="1:13" ht="15.75">
      <c r="A11" s="291">
        <v>1</v>
      </c>
      <c r="B11" s="296" t="s">
        <v>268</v>
      </c>
      <c r="C11" s="140">
        <v>21948</v>
      </c>
      <c r="D11" s="140">
        <v>21948</v>
      </c>
      <c r="E11" s="285" t="s">
        <v>93</v>
      </c>
      <c r="F11" s="285" t="s">
        <v>93</v>
      </c>
      <c r="G11" s="285" t="s">
        <v>93</v>
      </c>
      <c r="H11" s="285" t="s">
        <v>93</v>
      </c>
      <c r="I11" s="140">
        <v>712</v>
      </c>
      <c r="J11" s="140">
        <v>712</v>
      </c>
      <c r="K11" s="33"/>
      <c r="L11" s="33"/>
      <c r="M11" s="56"/>
    </row>
    <row r="12" spans="1:13" ht="15.75">
      <c r="A12" s="291">
        <v>2</v>
      </c>
      <c r="B12" s="296" t="s">
        <v>269</v>
      </c>
      <c r="C12" s="140">
        <v>23865</v>
      </c>
      <c r="D12" s="140">
        <v>23865</v>
      </c>
      <c r="E12" s="285" t="s">
        <v>93</v>
      </c>
      <c r="F12" s="285" t="s">
        <v>93</v>
      </c>
      <c r="G12" s="285" t="s">
        <v>93</v>
      </c>
      <c r="H12" s="285" t="s">
        <v>93</v>
      </c>
      <c r="I12" s="140">
        <v>624</v>
      </c>
      <c r="J12" s="140">
        <v>624</v>
      </c>
      <c r="K12" s="33"/>
      <c r="L12" s="33"/>
      <c r="M12" s="56"/>
    </row>
    <row r="13" spans="1:13" ht="15.75">
      <c r="A13" s="291">
        <v>3</v>
      </c>
      <c r="B13" s="296" t="s">
        <v>270</v>
      </c>
      <c r="C13" s="140">
        <v>26577</v>
      </c>
      <c r="D13" s="140">
        <v>26577</v>
      </c>
      <c r="E13" s="285" t="s">
        <v>93</v>
      </c>
      <c r="F13" s="285" t="s">
        <v>93</v>
      </c>
      <c r="G13" s="285" t="s">
        <v>93</v>
      </c>
      <c r="H13" s="285" t="s">
        <v>93</v>
      </c>
      <c r="I13" s="140">
        <v>1098</v>
      </c>
      <c r="J13" s="140">
        <v>1098</v>
      </c>
      <c r="K13" s="33"/>
      <c r="L13" s="33"/>
      <c r="M13" s="56"/>
    </row>
    <row r="14" spans="1:13" ht="15.75">
      <c r="A14" s="469" t="s">
        <v>92</v>
      </c>
      <c r="B14" s="470"/>
      <c r="C14" s="220"/>
      <c r="D14" s="220"/>
      <c r="E14" s="220"/>
      <c r="F14" s="220"/>
      <c r="G14" s="220"/>
      <c r="H14" s="220"/>
      <c r="I14" s="220"/>
      <c r="J14" s="220"/>
      <c r="K14" s="33"/>
      <c r="L14" s="33"/>
      <c r="M14" s="56"/>
    </row>
    <row r="15" spans="1:13" s="47" customFormat="1" ht="15.75">
      <c r="A15" s="294">
        <v>1</v>
      </c>
      <c r="B15" s="295" t="s">
        <v>127</v>
      </c>
      <c r="C15" s="219"/>
      <c r="D15" s="219"/>
      <c r="E15" s="141"/>
      <c r="F15" s="141"/>
      <c r="G15" s="219"/>
      <c r="H15" s="219"/>
      <c r="I15" s="141"/>
      <c r="J15" s="141"/>
      <c r="K15" s="97"/>
      <c r="L15" s="97"/>
      <c r="M15" s="98"/>
    </row>
    <row r="16" spans="1:13" s="47" customFormat="1" ht="15.75">
      <c r="A16" s="294">
        <v>2</v>
      </c>
      <c r="B16" s="295" t="s">
        <v>128</v>
      </c>
      <c r="C16" s="219"/>
      <c r="D16" s="219"/>
      <c r="E16" s="141"/>
      <c r="F16" s="141"/>
      <c r="G16" s="219"/>
      <c r="H16" s="219"/>
      <c r="I16" s="141"/>
      <c r="J16" s="141"/>
      <c r="K16" s="97"/>
      <c r="L16" s="97"/>
      <c r="M16" s="98"/>
    </row>
    <row r="17" spans="1:13" ht="15.75">
      <c r="A17" s="292" t="s">
        <v>94</v>
      </c>
      <c r="B17" s="293"/>
      <c r="C17" s="220">
        <f aca="true" t="shared" si="2" ref="C17:J17">SUM(C18:C80)</f>
        <v>0</v>
      </c>
      <c r="D17" s="220">
        <f t="shared" si="2"/>
        <v>0</v>
      </c>
      <c r="E17" s="220">
        <f t="shared" si="2"/>
        <v>0</v>
      </c>
      <c r="F17" s="220">
        <f t="shared" si="2"/>
        <v>0</v>
      </c>
      <c r="G17" s="220">
        <f t="shared" si="2"/>
        <v>425955</v>
      </c>
      <c r="H17" s="220">
        <f t="shared" si="2"/>
        <v>443248</v>
      </c>
      <c r="I17" s="220">
        <f t="shared" si="2"/>
        <v>6839</v>
      </c>
      <c r="J17" s="220">
        <f t="shared" si="2"/>
        <v>6879</v>
      </c>
      <c r="K17" s="33"/>
      <c r="L17" s="33"/>
      <c r="M17" s="56"/>
    </row>
    <row r="18" spans="1:13" ht="15.75">
      <c r="A18" s="287">
        <v>1</v>
      </c>
      <c r="B18" s="287" t="s">
        <v>175</v>
      </c>
      <c r="C18" s="285" t="s">
        <v>93</v>
      </c>
      <c r="D18" s="285" t="s">
        <v>93</v>
      </c>
      <c r="E18" s="285" t="s">
        <v>93</v>
      </c>
      <c r="F18" s="285" t="s">
        <v>93</v>
      </c>
      <c r="G18" s="140">
        <v>5659</v>
      </c>
      <c r="H18" s="140">
        <v>5659</v>
      </c>
      <c r="I18" s="140">
        <v>0</v>
      </c>
      <c r="J18" s="140">
        <v>0</v>
      </c>
      <c r="K18" s="33"/>
      <c r="L18" s="33"/>
      <c r="M18" s="33"/>
    </row>
    <row r="19" spans="1:13" ht="15.75">
      <c r="A19" s="287">
        <v>2</v>
      </c>
      <c r="B19" s="287" t="s">
        <v>263</v>
      </c>
      <c r="C19" s="285" t="s">
        <v>93</v>
      </c>
      <c r="D19" s="285" t="s">
        <v>93</v>
      </c>
      <c r="E19" s="285" t="s">
        <v>93</v>
      </c>
      <c r="F19" s="285" t="s">
        <v>93</v>
      </c>
      <c r="G19" s="141">
        <v>1275</v>
      </c>
      <c r="H19" s="141">
        <v>1275</v>
      </c>
      <c r="I19" s="141">
        <v>36</v>
      </c>
      <c r="J19" s="141">
        <v>36</v>
      </c>
      <c r="K19" s="33"/>
      <c r="L19" s="33"/>
      <c r="M19" s="33"/>
    </row>
    <row r="20" spans="1:13" ht="15.75">
      <c r="A20" s="287">
        <v>3</v>
      </c>
      <c r="B20" s="287" t="s">
        <v>176</v>
      </c>
      <c r="C20" s="285" t="s">
        <v>93</v>
      </c>
      <c r="D20" s="285" t="s">
        <v>93</v>
      </c>
      <c r="E20" s="285" t="s">
        <v>93</v>
      </c>
      <c r="F20" s="285" t="s">
        <v>93</v>
      </c>
      <c r="G20" s="140">
        <v>0</v>
      </c>
      <c r="H20" s="140">
        <v>0</v>
      </c>
      <c r="I20" s="140">
        <v>0</v>
      </c>
      <c r="J20" s="140">
        <v>0</v>
      </c>
      <c r="K20" s="33"/>
      <c r="L20" s="33"/>
      <c r="M20" s="33"/>
    </row>
    <row r="21" spans="1:13" ht="15.75">
      <c r="A21" s="287">
        <v>4</v>
      </c>
      <c r="B21" s="287" t="s">
        <v>177</v>
      </c>
      <c r="C21" s="285" t="s">
        <v>93</v>
      </c>
      <c r="D21" s="285" t="s">
        <v>93</v>
      </c>
      <c r="E21" s="285" t="s">
        <v>93</v>
      </c>
      <c r="F21" s="285" t="s">
        <v>93</v>
      </c>
      <c r="G21" s="140">
        <v>0</v>
      </c>
      <c r="H21" s="140">
        <v>0</v>
      </c>
      <c r="I21" s="140">
        <v>0</v>
      </c>
      <c r="J21" s="140">
        <v>0</v>
      </c>
      <c r="K21" s="33"/>
      <c r="L21" s="33"/>
      <c r="M21" s="33"/>
    </row>
    <row r="22" spans="1:13" ht="15.75">
      <c r="A22" s="287">
        <v>5</v>
      </c>
      <c r="B22" s="287" t="s">
        <v>178</v>
      </c>
      <c r="C22" s="285" t="s">
        <v>93</v>
      </c>
      <c r="D22" s="285" t="s">
        <v>93</v>
      </c>
      <c r="E22" s="285" t="s">
        <v>93</v>
      </c>
      <c r="F22" s="285" t="s">
        <v>93</v>
      </c>
      <c r="G22" s="140">
        <v>85</v>
      </c>
      <c r="H22" s="140">
        <v>85</v>
      </c>
      <c r="I22" s="286" t="s">
        <v>290</v>
      </c>
      <c r="J22" s="286" t="s">
        <v>290</v>
      </c>
      <c r="K22" s="33"/>
      <c r="L22" s="33"/>
      <c r="M22" s="33"/>
    </row>
    <row r="23" spans="1:13" ht="15.75">
      <c r="A23" s="287">
        <v>6</v>
      </c>
      <c r="B23" s="287" t="s">
        <v>179</v>
      </c>
      <c r="C23" s="285" t="s">
        <v>93</v>
      </c>
      <c r="D23" s="285" t="s">
        <v>93</v>
      </c>
      <c r="E23" s="285" t="s">
        <v>93</v>
      </c>
      <c r="F23" s="285" t="s">
        <v>93</v>
      </c>
      <c r="G23" s="140">
        <v>0</v>
      </c>
      <c r="H23" s="140">
        <v>0</v>
      </c>
      <c r="I23" s="140">
        <v>0</v>
      </c>
      <c r="J23" s="140">
        <v>0</v>
      </c>
      <c r="K23" s="33"/>
      <c r="L23" s="33"/>
      <c r="M23" s="33"/>
    </row>
    <row r="24" spans="1:13" ht="15.75">
      <c r="A24" s="287">
        <v>7</v>
      </c>
      <c r="B24" s="287" t="s">
        <v>180</v>
      </c>
      <c r="C24" s="285" t="s">
        <v>93</v>
      </c>
      <c r="D24" s="285" t="s">
        <v>93</v>
      </c>
      <c r="E24" s="285" t="s">
        <v>93</v>
      </c>
      <c r="F24" s="285" t="s">
        <v>93</v>
      </c>
      <c r="G24" s="141">
        <v>21605</v>
      </c>
      <c r="H24" s="141">
        <v>19303</v>
      </c>
      <c r="I24" s="140">
        <v>8</v>
      </c>
      <c r="J24" s="140">
        <v>8</v>
      </c>
      <c r="K24" s="33"/>
      <c r="L24" s="33"/>
      <c r="M24" s="33"/>
    </row>
    <row r="25" spans="1:13" ht="15.75">
      <c r="A25" s="287">
        <v>8</v>
      </c>
      <c r="B25" s="287" t="s">
        <v>181</v>
      </c>
      <c r="C25" s="285" t="s">
        <v>93</v>
      </c>
      <c r="D25" s="285" t="s">
        <v>93</v>
      </c>
      <c r="E25" s="285" t="s">
        <v>93</v>
      </c>
      <c r="F25" s="285" t="s">
        <v>93</v>
      </c>
      <c r="G25" s="140">
        <v>3946</v>
      </c>
      <c r="H25" s="140">
        <v>3946</v>
      </c>
      <c r="I25" s="140">
        <v>0</v>
      </c>
      <c r="J25" s="140">
        <v>0</v>
      </c>
      <c r="K25" s="33"/>
      <c r="L25" s="33"/>
      <c r="M25" s="33"/>
    </row>
    <row r="26" spans="1:13" ht="15.75">
      <c r="A26" s="287">
        <v>9</v>
      </c>
      <c r="B26" s="287" t="s">
        <v>182</v>
      </c>
      <c r="C26" s="285" t="s">
        <v>93</v>
      </c>
      <c r="D26" s="285" t="s">
        <v>93</v>
      </c>
      <c r="E26" s="285" t="s">
        <v>93</v>
      </c>
      <c r="F26" s="285" t="s">
        <v>93</v>
      </c>
      <c r="G26" s="286" t="s">
        <v>290</v>
      </c>
      <c r="H26" s="286" t="s">
        <v>290</v>
      </c>
      <c r="I26" s="286" t="s">
        <v>290</v>
      </c>
      <c r="J26" s="286" t="s">
        <v>290</v>
      </c>
      <c r="K26" s="33"/>
      <c r="L26" s="33"/>
      <c r="M26" s="33"/>
    </row>
    <row r="27" spans="1:13" ht="15.75">
      <c r="A27" s="287">
        <v>10</v>
      </c>
      <c r="B27" s="287" t="s">
        <v>183</v>
      </c>
      <c r="C27" s="285" t="s">
        <v>93</v>
      </c>
      <c r="D27" s="285" t="s">
        <v>93</v>
      </c>
      <c r="E27" s="285" t="s">
        <v>93</v>
      </c>
      <c r="F27" s="285" t="s">
        <v>93</v>
      </c>
      <c r="G27" s="140">
        <v>0</v>
      </c>
      <c r="H27" s="140">
        <v>0</v>
      </c>
      <c r="I27" s="140">
        <v>0</v>
      </c>
      <c r="J27" s="140">
        <v>0</v>
      </c>
      <c r="K27" s="33"/>
      <c r="L27" s="33"/>
      <c r="M27" s="33"/>
    </row>
    <row r="28" spans="1:13" ht="15.75">
      <c r="A28" s="287">
        <v>11</v>
      </c>
      <c r="B28" s="287" t="s">
        <v>184</v>
      </c>
      <c r="C28" s="285" t="s">
        <v>93</v>
      </c>
      <c r="D28" s="285" t="s">
        <v>93</v>
      </c>
      <c r="E28" s="285" t="s">
        <v>93</v>
      </c>
      <c r="F28" s="285" t="s">
        <v>93</v>
      </c>
      <c r="G28" s="140">
        <v>4156</v>
      </c>
      <c r="H28" s="140">
        <v>4156</v>
      </c>
      <c r="I28" s="140">
        <v>301</v>
      </c>
      <c r="J28" s="140">
        <v>301</v>
      </c>
      <c r="K28" s="33"/>
      <c r="L28" s="33"/>
      <c r="M28" s="33"/>
    </row>
    <row r="29" spans="1:13" ht="15.75">
      <c r="A29" s="287">
        <v>12</v>
      </c>
      <c r="B29" s="287" t="s">
        <v>185</v>
      </c>
      <c r="C29" s="285" t="s">
        <v>93</v>
      </c>
      <c r="D29" s="285" t="s">
        <v>93</v>
      </c>
      <c r="E29" s="285" t="s">
        <v>93</v>
      </c>
      <c r="F29" s="285" t="s">
        <v>93</v>
      </c>
      <c r="G29" s="140">
        <v>3203</v>
      </c>
      <c r="H29" s="140">
        <v>3203</v>
      </c>
      <c r="I29" s="140">
        <v>0</v>
      </c>
      <c r="J29" s="140">
        <v>0</v>
      </c>
      <c r="K29" s="33"/>
      <c r="L29" s="33"/>
      <c r="M29" s="33"/>
    </row>
    <row r="30" spans="1:13" ht="15.75">
      <c r="A30" s="287">
        <v>13</v>
      </c>
      <c r="B30" s="287" t="s">
        <v>186</v>
      </c>
      <c r="C30" s="285" t="s">
        <v>93</v>
      </c>
      <c r="D30" s="285" t="s">
        <v>93</v>
      </c>
      <c r="E30" s="285" t="s">
        <v>93</v>
      </c>
      <c r="F30" s="285" t="s">
        <v>93</v>
      </c>
      <c r="G30" s="140">
        <v>14882</v>
      </c>
      <c r="H30" s="140">
        <v>14882</v>
      </c>
      <c r="I30" s="140">
        <v>6</v>
      </c>
      <c r="J30" s="140">
        <v>0</v>
      </c>
      <c r="K30" s="33"/>
      <c r="L30" s="33"/>
      <c r="M30" s="33"/>
    </row>
    <row r="31" spans="1:13" ht="15.75">
      <c r="A31" s="287">
        <v>14</v>
      </c>
      <c r="B31" s="287" t="s">
        <v>187</v>
      </c>
      <c r="C31" s="285" t="s">
        <v>93</v>
      </c>
      <c r="D31" s="285" t="s">
        <v>93</v>
      </c>
      <c r="E31" s="285" t="s">
        <v>93</v>
      </c>
      <c r="F31" s="285" t="s">
        <v>93</v>
      </c>
      <c r="G31" s="140">
        <v>1610</v>
      </c>
      <c r="H31" s="140">
        <v>1610</v>
      </c>
      <c r="I31" s="140">
        <v>0</v>
      </c>
      <c r="J31" s="140">
        <v>0</v>
      </c>
      <c r="K31" s="33"/>
      <c r="L31" s="33"/>
      <c r="M31" s="33"/>
    </row>
    <row r="32" spans="1:13" ht="15.75">
      <c r="A32" s="287">
        <v>15</v>
      </c>
      <c r="B32" s="287" t="s">
        <v>188</v>
      </c>
      <c r="C32" s="285" t="s">
        <v>93</v>
      </c>
      <c r="D32" s="285" t="s">
        <v>93</v>
      </c>
      <c r="E32" s="285" t="s">
        <v>93</v>
      </c>
      <c r="F32" s="285" t="s">
        <v>93</v>
      </c>
      <c r="G32" s="140">
        <v>8764</v>
      </c>
      <c r="H32" s="140">
        <v>8764</v>
      </c>
      <c r="I32" s="140">
        <v>27</v>
      </c>
      <c r="J32" s="140">
        <v>27</v>
      </c>
      <c r="K32" s="33"/>
      <c r="L32" s="33"/>
      <c r="M32" s="33"/>
    </row>
    <row r="33" spans="1:13" ht="15.75">
      <c r="A33" s="287">
        <v>16</v>
      </c>
      <c r="B33" s="287" t="s">
        <v>189</v>
      </c>
      <c r="C33" s="285" t="s">
        <v>93</v>
      </c>
      <c r="D33" s="285" t="s">
        <v>93</v>
      </c>
      <c r="E33" s="285" t="s">
        <v>93</v>
      </c>
      <c r="F33" s="285" t="s">
        <v>93</v>
      </c>
      <c r="G33" s="140">
        <v>20066</v>
      </c>
      <c r="H33" s="140">
        <v>20063</v>
      </c>
      <c r="I33" s="140">
        <v>63</v>
      </c>
      <c r="J33" s="140">
        <v>63</v>
      </c>
      <c r="K33" s="33"/>
      <c r="L33" s="33"/>
      <c r="M33" s="33"/>
    </row>
    <row r="34" spans="1:13" ht="15.75">
      <c r="A34" s="287">
        <v>17</v>
      </c>
      <c r="B34" s="287" t="s">
        <v>190</v>
      </c>
      <c r="C34" s="285" t="s">
        <v>93</v>
      </c>
      <c r="D34" s="285" t="s">
        <v>93</v>
      </c>
      <c r="E34" s="285" t="s">
        <v>93</v>
      </c>
      <c r="F34" s="285" t="s">
        <v>93</v>
      </c>
      <c r="G34" s="141">
        <v>4183</v>
      </c>
      <c r="H34" s="141">
        <v>4135</v>
      </c>
      <c r="I34" s="141">
        <v>42</v>
      </c>
      <c r="J34" s="141">
        <v>36</v>
      </c>
      <c r="K34" s="33"/>
      <c r="L34" s="33"/>
      <c r="M34" s="33"/>
    </row>
    <row r="35" spans="1:13" ht="15.75">
      <c r="A35" s="287">
        <v>18</v>
      </c>
      <c r="B35" s="287" t="s">
        <v>191</v>
      </c>
      <c r="C35" s="285" t="s">
        <v>93</v>
      </c>
      <c r="D35" s="285" t="s">
        <v>93</v>
      </c>
      <c r="E35" s="285" t="s">
        <v>93</v>
      </c>
      <c r="F35" s="285" t="s">
        <v>93</v>
      </c>
      <c r="G35" s="140">
        <v>37</v>
      </c>
      <c r="H35" s="140">
        <v>37</v>
      </c>
      <c r="I35" s="140">
        <v>0</v>
      </c>
      <c r="J35" s="140">
        <v>0</v>
      </c>
      <c r="K35" s="33"/>
      <c r="L35" s="33"/>
      <c r="M35" s="33"/>
    </row>
    <row r="36" spans="1:13" ht="15.75">
      <c r="A36" s="287">
        <v>19</v>
      </c>
      <c r="B36" s="288" t="s">
        <v>211</v>
      </c>
      <c r="C36" s="285" t="s">
        <v>93</v>
      </c>
      <c r="D36" s="285" t="s">
        <v>93</v>
      </c>
      <c r="E36" s="285" t="s">
        <v>93</v>
      </c>
      <c r="F36" s="285" t="s">
        <v>93</v>
      </c>
      <c r="G36" s="140">
        <v>27347</v>
      </c>
      <c r="H36" s="140">
        <v>27347</v>
      </c>
      <c r="I36" s="140">
        <v>3</v>
      </c>
      <c r="J36" s="140">
        <v>3</v>
      </c>
      <c r="K36" s="33"/>
      <c r="L36" s="33"/>
      <c r="M36" s="33"/>
    </row>
    <row r="37" spans="1:13" ht="15.75">
      <c r="A37" s="287">
        <v>20</v>
      </c>
      <c r="B37" s="288" t="s">
        <v>212</v>
      </c>
      <c r="C37" s="285" t="s">
        <v>93</v>
      </c>
      <c r="D37" s="285" t="s">
        <v>93</v>
      </c>
      <c r="E37" s="285" t="s">
        <v>93</v>
      </c>
      <c r="F37" s="285" t="s">
        <v>93</v>
      </c>
      <c r="G37" s="141">
        <v>15027</v>
      </c>
      <c r="H37" s="141">
        <v>15027</v>
      </c>
      <c r="I37" s="286" t="s">
        <v>290</v>
      </c>
      <c r="J37" s="286" t="s">
        <v>290</v>
      </c>
      <c r="K37" s="33"/>
      <c r="L37" s="33"/>
      <c r="M37" s="33"/>
    </row>
    <row r="38" spans="1:13" ht="15.75">
      <c r="A38" s="287">
        <v>21</v>
      </c>
      <c r="B38" s="288" t="s">
        <v>213</v>
      </c>
      <c r="C38" s="285" t="s">
        <v>93</v>
      </c>
      <c r="D38" s="285" t="s">
        <v>93</v>
      </c>
      <c r="E38" s="285" t="s">
        <v>93</v>
      </c>
      <c r="F38" s="285" t="s">
        <v>93</v>
      </c>
      <c r="G38" s="140">
        <v>0</v>
      </c>
      <c r="H38" s="140">
        <v>0</v>
      </c>
      <c r="I38" s="140">
        <v>0</v>
      </c>
      <c r="J38" s="140">
        <v>0</v>
      </c>
      <c r="K38" s="33"/>
      <c r="L38" s="33"/>
      <c r="M38" s="33"/>
    </row>
    <row r="39" spans="1:13" ht="15.75">
      <c r="A39" s="287">
        <v>22</v>
      </c>
      <c r="B39" s="288" t="s">
        <v>214</v>
      </c>
      <c r="C39" s="285" t="s">
        <v>93</v>
      </c>
      <c r="D39" s="285" t="s">
        <v>93</v>
      </c>
      <c r="E39" s="285" t="s">
        <v>93</v>
      </c>
      <c r="F39" s="285" t="s">
        <v>93</v>
      </c>
      <c r="G39" s="457" t="s">
        <v>297</v>
      </c>
      <c r="H39" s="458"/>
      <c r="I39" s="458"/>
      <c r="J39" s="459"/>
      <c r="K39" s="33"/>
      <c r="L39" s="33"/>
      <c r="M39" s="33"/>
    </row>
    <row r="40" spans="1:13" ht="15.75">
      <c r="A40" s="287">
        <v>23</v>
      </c>
      <c r="B40" s="288" t="s">
        <v>215</v>
      </c>
      <c r="C40" s="285" t="s">
        <v>93</v>
      </c>
      <c r="D40" s="285" t="s">
        <v>93</v>
      </c>
      <c r="E40" s="285" t="s">
        <v>93</v>
      </c>
      <c r="F40" s="285" t="s">
        <v>93</v>
      </c>
      <c r="G40" s="140">
        <v>1631</v>
      </c>
      <c r="H40" s="140">
        <v>1631</v>
      </c>
      <c r="I40" s="140">
        <v>0</v>
      </c>
      <c r="J40" s="140">
        <v>0</v>
      </c>
      <c r="K40" s="33"/>
      <c r="L40" s="33"/>
      <c r="M40" s="33"/>
    </row>
    <row r="41" spans="1:13" ht="15.75">
      <c r="A41" s="289">
        <v>24</v>
      </c>
      <c r="B41" s="290" t="s">
        <v>216</v>
      </c>
      <c r="C41" s="285" t="s">
        <v>93</v>
      </c>
      <c r="D41" s="285" t="s">
        <v>93</v>
      </c>
      <c r="E41" s="285" t="s">
        <v>93</v>
      </c>
      <c r="F41" s="285" t="s">
        <v>93</v>
      </c>
      <c r="G41" s="286" t="s">
        <v>290</v>
      </c>
      <c r="H41" s="141">
        <v>35360</v>
      </c>
      <c r="I41" s="286" t="s">
        <v>290</v>
      </c>
      <c r="J41" s="141">
        <v>60</v>
      </c>
      <c r="K41" s="33"/>
      <c r="L41" s="33"/>
      <c r="M41" s="33"/>
    </row>
    <row r="42" spans="1:13" ht="15.75">
      <c r="A42" s="287">
        <v>25</v>
      </c>
      <c r="B42" s="288" t="s">
        <v>217</v>
      </c>
      <c r="C42" s="285" t="s">
        <v>93</v>
      </c>
      <c r="D42" s="285" t="s">
        <v>93</v>
      </c>
      <c r="E42" s="285" t="s">
        <v>93</v>
      </c>
      <c r="F42" s="285" t="s">
        <v>93</v>
      </c>
      <c r="G42" s="140">
        <v>0</v>
      </c>
      <c r="H42" s="140">
        <v>0</v>
      </c>
      <c r="I42" s="140">
        <v>0</v>
      </c>
      <c r="J42" s="140">
        <v>0</v>
      </c>
      <c r="K42" s="33"/>
      <c r="L42" s="33"/>
      <c r="M42" s="33"/>
    </row>
    <row r="43" spans="1:13" ht="15.75">
      <c r="A43" s="287">
        <v>26</v>
      </c>
      <c r="B43" s="288" t="s">
        <v>218</v>
      </c>
      <c r="C43" s="285" t="s">
        <v>93</v>
      </c>
      <c r="D43" s="285" t="s">
        <v>93</v>
      </c>
      <c r="E43" s="285" t="s">
        <v>93</v>
      </c>
      <c r="F43" s="285" t="s">
        <v>93</v>
      </c>
      <c r="G43" s="140">
        <v>14214</v>
      </c>
      <c r="H43" s="141">
        <v>14164</v>
      </c>
      <c r="I43" s="140">
        <v>11</v>
      </c>
      <c r="J43" s="140">
        <v>11</v>
      </c>
      <c r="K43" s="33"/>
      <c r="L43" s="33"/>
      <c r="M43" s="33"/>
    </row>
    <row r="44" spans="1:13" ht="15.75">
      <c r="A44" s="287">
        <v>27</v>
      </c>
      <c r="B44" s="288" t="s">
        <v>219</v>
      </c>
      <c r="C44" s="285" t="s">
        <v>93</v>
      </c>
      <c r="D44" s="285" t="s">
        <v>93</v>
      </c>
      <c r="E44" s="285" t="s">
        <v>93</v>
      </c>
      <c r="F44" s="285" t="s">
        <v>93</v>
      </c>
      <c r="G44" s="140">
        <v>9584</v>
      </c>
      <c r="H44" s="140">
        <v>9584</v>
      </c>
      <c r="I44" s="140">
        <v>5</v>
      </c>
      <c r="J44" s="140">
        <v>5</v>
      </c>
      <c r="K44" s="33"/>
      <c r="L44" s="33"/>
      <c r="M44" s="33"/>
    </row>
    <row r="45" spans="1:13" ht="15.75">
      <c r="A45" s="287">
        <v>28</v>
      </c>
      <c r="B45" s="288" t="s">
        <v>220</v>
      </c>
      <c r="C45" s="285" t="s">
        <v>93</v>
      </c>
      <c r="D45" s="285" t="s">
        <v>93</v>
      </c>
      <c r="E45" s="285" t="s">
        <v>93</v>
      </c>
      <c r="F45" s="285" t="s">
        <v>93</v>
      </c>
      <c r="G45" s="140">
        <v>2078</v>
      </c>
      <c r="H45" s="140">
        <v>2078</v>
      </c>
      <c r="I45" s="140">
        <v>0</v>
      </c>
      <c r="J45" s="140">
        <v>0</v>
      </c>
      <c r="K45" s="33"/>
      <c r="L45" s="33"/>
      <c r="M45" s="33"/>
    </row>
    <row r="46" spans="1:13" ht="15.75">
      <c r="A46" s="287">
        <v>29</v>
      </c>
      <c r="B46" s="288" t="s">
        <v>221</v>
      </c>
      <c r="C46" s="285" t="s">
        <v>93</v>
      </c>
      <c r="D46" s="285" t="s">
        <v>93</v>
      </c>
      <c r="E46" s="285" t="s">
        <v>93</v>
      </c>
      <c r="F46" s="285" t="s">
        <v>93</v>
      </c>
      <c r="G46" s="140">
        <v>4574</v>
      </c>
      <c r="H46" s="140">
        <v>3823</v>
      </c>
      <c r="I46" s="140">
        <v>0</v>
      </c>
      <c r="J46" s="140">
        <v>0</v>
      </c>
      <c r="K46" s="33"/>
      <c r="L46" s="33"/>
      <c r="M46" s="33"/>
    </row>
    <row r="47" spans="1:13" ht="15.75">
      <c r="A47" s="287">
        <v>30</v>
      </c>
      <c r="B47" s="288" t="s">
        <v>222</v>
      </c>
      <c r="C47" s="285" t="s">
        <v>93</v>
      </c>
      <c r="D47" s="285" t="s">
        <v>93</v>
      </c>
      <c r="E47" s="285" t="s">
        <v>93</v>
      </c>
      <c r="F47" s="285" t="s">
        <v>93</v>
      </c>
      <c r="G47" s="140">
        <v>3460</v>
      </c>
      <c r="H47" s="140">
        <v>3460</v>
      </c>
      <c r="I47" s="140">
        <v>0</v>
      </c>
      <c r="J47" s="140">
        <v>0</v>
      </c>
      <c r="K47" s="33"/>
      <c r="L47" s="33"/>
      <c r="M47" s="33"/>
    </row>
    <row r="48" spans="1:13" ht="15.75">
      <c r="A48" s="287">
        <v>31</v>
      </c>
      <c r="B48" s="288" t="s">
        <v>223</v>
      </c>
      <c r="C48" s="285" t="s">
        <v>93</v>
      </c>
      <c r="D48" s="285" t="s">
        <v>93</v>
      </c>
      <c r="E48" s="285" t="s">
        <v>93</v>
      </c>
      <c r="F48" s="285" t="s">
        <v>93</v>
      </c>
      <c r="G48" s="140">
        <v>10512</v>
      </c>
      <c r="H48" s="140">
        <v>10512</v>
      </c>
      <c r="I48" s="140">
        <v>3</v>
      </c>
      <c r="J48" s="140">
        <v>3</v>
      </c>
      <c r="K48" s="33"/>
      <c r="L48" s="33"/>
      <c r="M48" s="33"/>
    </row>
    <row r="49" spans="1:13" ht="15.75">
      <c r="A49" s="287">
        <v>32</v>
      </c>
      <c r="B49" s="288" t="s">
        <v>224</v>
      </c>
      <c r="C49" s="285" t="s">
        <v>93</v>
      </c>
      <c r="D49" s="285" t="s">
        <v>93</v>
      </c>
      <c r="E49" s="285" t="s">
        <v>93</v>
      </c>
      <c r="F49" s="285" t="s">
        <v>93</v>
      </c>
      <c r="G49" s="140">
        <v>34705</v>
      </c>
      <c r="H49" s="141">
        <v>34704</v>
      </c>
      <c r="I49" s="140">
        <v>34</v>
      </c>
      <c r="J49" s="140">
        <v>34</v>
      </c>
      <c r="K49" s="33"/>
      <c r="L49" s="33"/>
      <c r="M49" s="33"/>
    </row>
    <row r="50" spans="1:13" ht="15.75">
      <c r="A50" s="287">
        <v>33</v>
      </c>
      <c r="B50" s="288" t="s">
        <v>225</v>
      </c>
      <c r="C50" s="285" t="s">
        <v>93</v>
      </c>
      <c r="D50" s="285" t="s">
        <v>93</v>
      </c>
      <c r="E50" s="285" t="s">
        <v>93</v>
      </c>
      <c r="F50" s="285" t="s">
        <v>93</v>
      </c>
      <c r="G50" s="140">
        <v>2378</v>
      </c>
      <c r="H50" s="140">
        <v>2378</v>
      </c>
      <c r="I50" s="140">
        <v>2</v>
      </c>
      <c r="J50" s="140">
        <v>2</v>
      </c>
      <c r="K50" s="33"/>
      <c r="L50" s="33"/>
      <c r="M50" s="33"/>
    </row>
    <row r="51" spans="1:13" ht="15.75">
      <c r="A51" s="287">
        <v>34</v>
      </c>
      <c r="B51" s="288" t="s">
        <v>226</v>
      </c>
      <c r="C51" s="285" t="s">
        <v>93</v>
      </c>
      <c r="D51" s="285" t="s">
        <v>93</v>
      </c>
      <c r="E51" s="285" t="s">
        <v>93</v>
      </c>
      <c r="F51" s="285" t="s">
        <v>93</v>
      </c>
      <c r="G51" s="140">
        <v>717</v>
      </c>
      <c r="H51" s="140">
        <v>717</v>
      </c>
      <c r="I51" s="286" t="s">
        <v>290</v>
      </c>
      <c r="J51" s="286" t="s">
        <v>290</v>
      </c>
      <c r="K51" s="33"/>
      <c r="L51" s="33"/>
      <c r="M51" s="33"/>
    </row>
    <row r="52" spans="1:13" ht="15.75">
      <c r="A52" s="287">
        <v>35</v>
      </c>
      <c r="B52" s="288" t="s">
        <v>227</v>
      </c>
      <c r="C52" s="285" t="s">
        <v>93</v>
      </c>
      <c r="D52" s="285" t="s">
        <v>93</v>
      </c>
      <c r="E52" s="285" t="s">
        <v>93</v>
      </c>
      <c r="F52" s="285" t="s">
        <v>93</v>
      </c>
      <c r="G52" s="460" t="s">
        <v>297</v>
      </c>
      <c r="H52" s="461"/>
      <c r="I52" s="461"/>
      <c r="J52" s="462"/>
      <c r="K52" s="33"/>
      <c r="L52" s="33"/>
      <c r="M52" s="33"/>
    </row>
    <row r="53" spans="1:13" ht="15.75">
      <c r="A53" s="287">
        <v>36</v>
      </c>
      <c r="B53" s="110" t="s">
        <v>229</v>
      </c>
      <c r="C53" s="285" t="s">
        <v>93</v>
      </c>
      <c r="D53" s="285" t="s">
        <v>93</v>
      </c>
      <c r="E53" s="285" t="s">
        <v>93</v>
      </c>
      <c r="F53" s="285" t="s">
        <v>93</v>
      </c>
      <c r="G53" s="140">
        <v>2256</v>
      </c>
      <c r="H53" s="140">
        <v>2256</v>
      </c>
      <c r="I53" s="140"/>
      <c r="J53" s="140"/>
      <c r="K53" s="33"/>
      <c r="L53" s="33"/>
      <c r="M53" s="33"/>
    </row>
    <row r="54" spans="1:13" ht="15.75">
      <c r="A54" s="287">
        <v>37</v>
      </c>
      <c r="B54" s="110" t="s">
        <v>230</v>
      </c>
      <c r="C54" s="285" t="s">
        <v>93</v>
      </c>
      <c r="D54" s="285" t="s">
        <v>93</v>
      </c>
      <c r="E54" s="285" t="s">
        <v>93</v>
      </c>
      <c r="F54" s="285" t="s">
        <v>93</v>
      </c>
      <c r="G54" s="140">
        <v>2127</v>
      </c>
      <c r="H54" s="140">
        <v>2127</v>
      </c>
      <c r="I54" s="140">
        <v>16</v>
      </c>
      <c r="J54" s="140">
        <v>16</v>
      </c>
      <c r="K54" s="33"/>
      <c r="L54" s="33"/>
      <c r="M54" s="33"/>
    </row>
    <row r="55" spans="1:13" ht="15.75">
      <c r="A55" s="287">
        <v>38</v>
      </c>
      <c r="B55" s="110" t="s">
        <v>231</v>
      </c>
      <c r="C55" s="285" t="s">
        <v>93</v>
      </c>
      <c r="D55" s="285" t="s">
        <v>93</v>
      </c>
      <c r="E55" s="285" t="s">
        <v>93</v>
      </c>
      <c r="F55" s="285" t="s">
        <v>93</v>
      </c>
      <c r="G55" s="140">
        <v>4104</v>
      </c>
      <c r="H55" s="140">
        <v>4104</v>
      </c>
      <c r="I55" s="140">
        <v>0</v>
      </c>
      <c r="J55" s="140">
        <v>0</v>
      </c>
      <c r="K55" s="33"/>
      <c r="L55" s="33"/>
      <c r="M55" s="33"/>
    </row>
    <row r="56" spans="1:13" ht="15.75">
      <c r="A56" s="287">
        <v>39</v>
      </c>
      <c r="B56" s="110" t="s">
        <v>232</v>
      </c>
      <c r="C56" s="285" t="s">
        <v>93</v>
      </c>
      <c r="D56" s="285" t="s">
        <v>93</v>
      </c>
      <c r="E56" s="285" t="s">
        <v>93</v>
      </c>
      <c r="F56" s="285" t="s">
        <v>93</v>
      </c>
      <c r="G56" s="140" t="s">
        <v>290</v>
      </c>
      <c r="H56" s="140" t="s">
        <v>290</v>
      </c>
      <c r="I56" s="140" t="s">
        <v>290</v>
      </c>
      <c r="J56" s="140" t="s">
        <v>290</v>
      </c>
      <c r="K56" s="33"/>
      <c r="L56" s="33"/>
      <c r="M56" s="33"/>
    </row>
    <row r="57" spans="1:13" ht="15.75">
      <c r="A57" s="287">
        <v>40</v>
      </c>
      <c r="B57" s="110" t="s">
        <v>233</v>
      </c>
      <c r="C57" s="285" t="s">
        <v>93</v>
      </c>
      <c r="D57" s="285" t="s">
        <v>93</v>
      </c>
      <c r="E57" s="285" t="s">
        <v>93</v>
      </c>
      <c r="F57" s="285" t="s">
        <v>93</v>
      </c>
      <c r="G57" s="140">
        <v>21077</v>
      </c>
      <c r="H57" s="140">
        <v>18734</v>
      </c>
      <c r="I57" s="140">
        <v>26</v>
      </c>
      <c r="J57" s="140">
        <v>26</v>
      </c>
      <c r="K57" s="33"/>
      <c r="L57" s="33"/>
      <c r="M57" s="33"/>
    </row>
    <row r="58" spans="1:13" ht="15.75">
      <c r="A58" s="287">
        <v>41</v>
      </c>
      <c r="B58" s="110" t="s">
        <v>234</v>
      </c>
      <c r="C58" s="285" t="s">
        <v>93</v>
      </c>
      <c r="D58" s="285" t="s">
        <v>93</v>
      </c>
      <c r="E58" s="285" t="s">
        <v>93</v>
      </c>
      <c r="F58" s="285" t="s">
        <v>93</v>
      </c>
      <c r="G58" s="140">
        <v>0</v>
      </c>
      <c r="H58" s="140">
        <v>0</v>
      </c>
      <c r="I58" s="140">
        <v>0</v>
      </c>
      <c r="J58" s="140">
        <v>0</v>
      </c>
      <c r="K58" s="33"/>
      <c r="L58" s="33"/>
      <c r="M58" s="33"/>
    </row>
    <row r="59" spans="1:13" ht="15.75">
      <c r="A59" s="287">
        <v>42</v>
      </c>
      <c r="B59" s="110" t="s">
        <v>235</v>
      </c>
      <c r="C59" s="285" t="s">
        <v>93</v>
      </c>
      <c r="D59" s="285" t="s">
        <v>93</v>
      </c>
      <c r="E59" s="285" t="s">
        <v>93</v>
      </c>
      <c r="F59" s="285" t="s">
        <v>93</v>
      </c>
      <c r="G59" s="140">
        <v>708</v>
      </c>
      <c r="H59" s="140">
        <v>708</v>
      </c>
      <c r="I59" s="140">
        <v>0</v>
      </c>
      <c r="J59" s="140">
        <v>0</v>
      </c>
      <c r="K59" s="33"/>
      <c r="L59" s="33"/>
      <c r="M59" s="33"/>
    </row>
    <row r="60" spans="1:13" ht="15.75">
      <c r="A60" s="287">
        <v>43</v>
      </c>
      <c r="B60" s="110" t="s">
        <v>236</v>
      </c>
      <c r="C60" s="285" t="s">
        <v>93</v>
      </c>
      <c r="D60" s="285" t="s">
        <v>93</v>
      </c>
      <c r="E60" s="285" t="s">
        <v>93</v>
      </c>
      <c r="F60" s="285" t="s">
        <v>93</v>
      </c>
      <c r="G60" s="140">
        <v>3740</v>
      </c>
      <c r="H60" s="140">
        <v>3740</v>
      </c>
      <c r="I60" s="140">
        <v>0</v>
      </c>
      <c r="J60" s="140">
        <v>0</v>
      </c>
      <c r="K60" s="33"/>
      <c r="L60" s="33"/>
      <c r="M60" s="33"/>
    </row>
    <row r="61" spans="1:13" ht="15.75">
      <c r="A61" s="287">
        <v>44</v>
      </c>
      <c r="B61" s="110" t="s">
        <v>237</v>
      </c>
      <c r="C61" s="285" t="s">
        <v>93</v>
      </c>
      <c r="D61" s="285" t="s">
        <v>93</v>
      </c>
      <c r="E61" s="285" t="s">
        <v>93</v>
      </c>
      <c r="F61" s="285" t="s">
        <v>93</v>
      </c>
      <c r="G61" s="140">
        <v>3888</v>
      </c>
      <c r="H61" s="140">
        <v>3888</v>
      </c>
      <c r="I61" s="140">
        <v>6</v>
      </c>
      <c r="J61" s="140">
        <v>6</v>
      </c>
      <c r="K61" s="33"/>
      <c r="L61" s="33"/>
      <c r="M61" s="33"/>
    </row>
    <row r="62" spans="1:13" s="117" customFormat="1" ht="15.75">
      <c r="A62" s="287">
        <v>45</v>
      </c>
      <c r="B62" s="110" t="s">
        <v>243</v>
      </c>
      <c r="C62" s="285" t="s">
        <v>93</v>
      </c>
      <c r="D62" s="285" t="s">
        <v>93</v>
      </c>
      <c r="E62" s="285" t="s">
        <v>93</v>
      </c>
      <c r="F62" s="285" t="s">
        <v>93</v>
      </c>
      <c r="G62" s="140">
        <v>7188</v>
      </c>
      <c r="H62" s="140">
        <v>7188</v>
      </c>
      <c r="I62" s="140">
        <v>2</v>
      </c>
      <c r="J62" s="140">
        <v>2</v>
      </c>
      <c r="K62" s="121"/>
      <c r="L62" s="121"/>
      <c r="M62" s="121"/>
    </row>
    <row r="63" spans="1:13" s="117" customFormat="1" ht="15.75">
      <c r="A63" s="287">
        <v>46</v>
      </c>
      <c r="B63" s="110" t="s">
        <v>244</v>
      </c>
      <c r="C63" s="285" t="s">
        <v>93</v>
      </c>
      <c r="D63" s="285" t="s">
        <v>93</v>
      </c>
      <c r="E63" s="285" t="s">
        <v>93</v>
      </c>
      <c r="F63" s="285" t="s">
        <v>93</v>
      </c>
      <c r="G63" s="140">
        <v>1566</v>
      </c>
      <c r="H63" s="140">
        <v>1566</v>
      </c>
      <c r="I63" s="140">
        <v>0</v>
      </c>
      <c r="J63" s="140">
        <v>0</v>
      </c>
      <c r="K63" s="121"/>
      <c r="L63" s="121"/>
      <c r="M63" s="121"/>
    </row>
    <row r="64" spans="1:13" s="117" customFormat="1" ht="15.75">
      <c r="A64" s="287">
        <v>47</v>
      </c>
      <c r="B64" s="110" t="s">
        <v>245</v>
      </c>
      <c r="C64" s="285" t="s">
        <v>93</v>
      </c>
      <c r="D64" s="285" t="s">
        <v>93</v>
      </c>
      <c r="E64" s="285" t="s">
        <v>93</v>
      </c>
      <c r="F64" s="285" t="s">
        <v>93</v>
      </c>
      <c r="G64" s="140">
        <v>13330</v>
      </c>
      <c r="H64" s="140">
        <v>1330</v>
      </c>
      <c r="I64" s="140">
        <v>20</v>
      </c>
      <c r="J64" s="140">
        <v>20</v>
      </c>
      <c r="K64" s="121"/>
      <c r="L64" s="121"/>
      <c r="M64" s="121"/>
    </row>
    <row r="65" spans="1:13" s="117" customFormat="1" ht="15.75">
      <c r="A65" s="287">
        <v>48</v>
      </c>
      <c r="B65" s="110" t="s">
        <v>246</v>
      </c>
      <c r="C65" s="285" t="s">
        <v>93</v>
      </c>
      <c r="D65" s="285" t="s">
        <v>93</v>
      </c>
      <c r="E65" s="285" t="s">
        <v>93</v>
      </c>
      <c r="F65" s="285" t="s">
        <v>93</v>
      </c>
      <c r="G65" s="140">
        <v>13536</v>
      </c>
      <c r="H65" s="140">
        <v>13536</v>
      </c>
      <c r="I65" s="140">
        <v>856</v>
      </c>
      <c r="J65" s="140">
        <v>856</v>
      </c>
      <c r="K65" s="121"/>
      <c r="L65" s="121"/>
      <c r="M65" s="121"/>
    </row>
    <row r="66" spans="1:13" s="117" customFormat="1" ht="15.75">
      <c r="A66" s="287">
        <v>49</v>
      </c>
      <c r="B66" s="110" t="s">
        <v>247</v>
      </c>
      <c r="C66" s="285" t="s">
        <v>93</v>
      </c>
      <c r="D66" s="285" t="s">
        <v>93</v>
      </c>
      <c r="E66" s="285" t="s">
        <v>93</v>
      </c>
      <c r="F66" s="285" t="s">
        <v>93</v>
      </c>
      <c r="G66" s="140">
        <v>5096</v>
      </c>
      <c r="H66" s="140">
        <v>5094</v>
      </c>
      <c r="I66" s="140">
        <v>0</v>
      </c>
      <c r="J66" s="140">
        <v>0</v>
      </c>
      <c r="K66" s="121"/>
      <c r="L66" s="121"/>
      <c r="M66" s="121"/>
    </row>
    <row r="67" spans="1:13" s="117" customFormat="1" ht="15.75">
      <c r="A67" s="287">
        <v>50</v>
      </c>
      <c r="B67" s="110" t="s">
        <v>248</v>
      </c>
      <c r="C67" s="285" t="s">
        <v>93</v>
      </c>
      <c r="D67" s="285" t="s">
        <v>93</v>
      </c>
      <c r="E67" s="285" t="s">
        <v>93</v>
      </c>
      <c r="F67" s="285" t="s">
        <v>93</v>
      </c>
      <c r="G67" s="140">
        <v>9975</v>
      </c>
      <c r="H67" s="140">
        <v>9974</v>
      </c>
      <c r="I67" s="140">
        <v>1</v>
      </c>
      <c r="J67" s="140">
        <v>1</v>
      </c>
      <c r="K67" s="121"/>
      <c r="L67" s="121"/>
      <c r="M67" s="121"/>
    </row>
    <row r="68" spans="1:13" s="117" customFormat="1" ht="15.75">
      <c r="A68" s="287">
        <v>51</v>
      </c>
      <c r="B68" s="110" t="s">
        <v>249</v>
      </c>
      <c r="C68" s="285" t="s">
        <v>93</v>
      </c>
      <c r="D68" s="285" t="s">
        <v>93</v>
      </c>
      <c r="E68" s="285" t="s">
        <v>93</v>
      </c>
      <c r="F68" s="285" t="s">
        <v>93</v>
      </c>
      <c r="G68" s="140">
        <v>3508</v>
      </c>
      <c r="H68" s="140">
        <v>3508</v>
      </c>
      <c r="I68" s="140">
        <v>0</v>
      </c>
      <c r="J68" s="140">
        <v>0</v>
      </c>
      <c r="K68" s="121"/>
      <c r="L68" s="121"/>
      <c r="M68" s="121"/>
    </row>
    <row r="69" spans="1:13" s="117" customFormat="1" ht="15.75">
      <c r="A69" s="287">
        <v>52</v>
      </c>
      <c r="B69" s="110" t="s">
        <v>250</v>
      </c>
      <c r="C69" s="285" t="s">
        <v>93</v>
      </c>
      <c r="D69" s="285" t="s">
        <v>93</v>
      </c>
      <c r="E69" s="285" t="s">
        <v>93</v>
      </c>
      <c r="F69" s="285" t="s">
        <v>93</v>
      </c>
      <c r="G69" s="140">
        <v>10471</v>
      </c>
      <c r="H69" s="140">
        <v>10471</v>
      </c>
      <c r="I69" s="140">
        <v>6</v>
      </c>
      <c r="J69" s="140">
        <v>6</v>
      </c>
      <c r="K69" s="121"/>
      <c r="L69" s="121"/>
      <c r="M69" s="121"/>
    </row>
    <row r="70" spans="1:13" s="129" customFormat="1" ht="15.75">
      <c r="A70" s="287">
        <v>53</v>
      </c>
      <c r="B70" s="110" t="s">
        <v>251</v>
      </c>
      <c r="C70" s="285" t="s">
        <v>93</v>
      </c>
      <c r="D70" s="285" t="s">
        <v>93</v>
      </c>
      <c r="E70" s="285" t="s">
        <v>93</v>
      </c>
      <c r="F70" s="285" t="s">
        <v>93</v>
      </c>
      <c r="G70" s="141">
        <v>0</v>
      </c>
      <c r="H70" s="141">
        <v>0</v>
      </c>
      <c r="I70" s="141">
        <v>0</v>
      </c>
      <c r="J70" s="141">
        <v>0</v>
      </c>
      <c r="K70" s="131"/>
      <c r="L70" s="131"/>
      <c r="M70" s="131"/>
    </row>
    <row r="71" spans="1:13" s="117" customFormat="1" ht="15.75">
      <c r="A71" s="287">
        <v>54</v>
      </c>
      <c r="B71" s="110" t="s">
        <v>252</v>
      </c>
      <c r="C71" s="285" t="s">
        <v>93</v>
      </c>
      <c r="D71" s="285" t="s">
        <v>93</v>
      </c>
      <c r="E71" s="285" t="s">
        <v>93</v>
      </c>
      <c r="F71" s="285" t="s">
        <v>93</v>
      </c>
      <c r="G71" s="140">
        <v>0</v>
      </c>
      <c r="H71" s="140">
        <v>0</v>
      </c>
      <c r="I71" s="140">
        <v>0</v>
      </c>
      <c r="J71" s="140">
        <v>0</v>
      </c>
      <c r="K71" s="121"/>
      <c r="L71" s="121"/>
      <c r="M71" s="121"/>
    </row>
    <row r="72" spans="1:13" s="117" customFormat="1" ht="15.75">
      <c r="A72" s="287">
        <v>55</v>
      </c>
      <c r="B72" s="110" t="s">
        <v>253</v>
      </c>
      <c r="C72" s="285" t="s">
        <v>93</v>
      </c>
      <c r="D72" s="285" t="s">
        <v>93</v>
      </c>
      <c r="E72" s="285" t="s">
        <v>93</v>
      </c>
      <c r="F72" s="285" t="s">
        <v>93</v>
      </c>
      <c r="G72" s="140">
        <v>6853</v>
      </c>
      <c r="H72" s="140">
        <v>6853</v>
      </c>
      <c r="I72" s="140">
        <v>0</v>
      </c>
      <c r="J72" s="140">
        <v>0</v>
      </c>
      <c r="K72" s="121"/>
      <c r="L72" s="121"/>
      <c r="M72" s="121"/>
    </row>
    <row r="73" spans="1:13" s="117" customFormat="1" ht="15.75">
      <c r="A73" s="287">
        <v>56</v>
      </c>
      <c r="B73" s="110" t="s">
        <v>254</v>
      </c>
      <c r="C73" s="285" t="s">
        <v>93</v>
      </c>
      <c r="D73" s="285" t="s">
        <v>93</v>
      </c>
      <c r="E73" s="285" t="s">
        <v>93</v>
      </c>
      <c r="F73" s="285" t="s">
        <v>93</v>
      </c>
      <c r="G73" s="140">
        <v>4578</v>
      </c>
      <c r="H73" s="140">
        <v>4518</v>
      </c>
      <c r="I73" s="140">
        <v>47</v>
      </c>
      <c r="J73" s="140">
        <v>47</v>
      </c>
      <c r="K73" s="121"/>
      <c r="L73" s="121"/>
      <c r="M73" s="121"/>
    </row>
    <row r="74" spans="1:13" s="117" customFormat="1" ht="15.75">
      <c r="A74" s="287">
        <v>57</v>
      </c>
      <c r="B74" s="110" t="s">
        <v>255</v>
      </c>
      <c r="C74" s="285" t="s">
        <v>93</v>
      </c>
      <c r="D74" s="285" t="s">
        <v>93</v>
      </c>
      <c r="E74" s="285" t="s">
        <v>93</v>
      </c>
      <c r="F74" s="285" t="s">
        <v>93</v>
      </c>
      <c r="G74" s="140">
        <v>12859</v>
      </c>
      <c r="H74" s="140">
        <v>12859</v>
      </c>
      <c r="I74" s="140">
        <v>8</v>
      </c>
      <c r="J74" s="140">
        <v>8</v>
      </c>
      <c r="K74" s="121"/>
      <c r="L74" s="121"/>
      <c r="M74" s="121"/>
    </row>
    <row r="75" spans="1:13" s="117" customFormat="1" ht="15.75">
      <c r="A75" s="287">
        <v>58</v>
      </c>
      <c r="B75" s="110" t="s">
        <v>256</v>
      </c>
      <c r="C75" s="285" t="s">
        <v>93</v>
      </c>
      <c r="D75" s="285" t="s">
        <v>93</v>
      </c>
      <c r="E75" s="285" t="s">
        <v>93</v>
      </c>
      <c r="F75" s="285" t="s">
        <v>93</v>
      </c>
      <c r="G75" s="141">
        <v>65846</v>
      </c>
      <c r="H75" s="141">
        <v>65343</v>
      </c>
      <c r="I75" s="141">
        <v>5307</v>
      </c>
      <c r="J75" s="141">
        <v>5299</v>
      </c>
      <c r="K75" s="121"/>
      <c r="L75" s="121"/>
      <c r="M75" s="121"/>
    </row>
    <row r="76" spans="1:13" s="117" customFormat="1" ht="15.75">
      <c r="A76" s="287">
        <v>59</v>
      </c>
      <c r="B76" s="110" t="s">
        <v>257</v>
      </c>
      <c r="C76" s="285" t="s">
        <v>93</v>
      </c>
      <c r="D76" s="285" t="s">
        <v>93</v>
      </c>
      <c r="E76" s="285" t="s">
        <v>93</v>
      </c>
      <c r="F76" s="285" t="s">
        <v>93</v>
      </c>
      <c r="G76" s="140">
        <v>34</v>
      </c>
      <c r="H76" s="140">
        <v>34</v>
      </c>
      <c r="I76" s="140">
        <v>0</v>
      </c>
      <c r="J76" s="140">
        <v>0</v>
      </c>
      <c r="K76" s="121"/>
      <c r="L76" s="121"/>
      <c r="M76" s="121"/>
    </row>
    <row r="77" spans="1:13" s="117" customFormat="1" ht="15.75">
      <c r="A77" s="287">
        <v>60</v>
      </c>
      <c r="B77" s="110" t="s">
        <v>258</v>
      </c>
      <c r="C77" s="285" t="s">
        <v>93</v>
      </c>
      <c r="D77" s="285" t="s">
        <v>93</v>
      </c>
      <c r="E77" s="285" t="s">
        <v>93</v>
      </c>
      <c r="F77" s="285" t="s">
        <v>93</v>
      </c>
      <c r="G77" s="140">
        <v>2286</v>
      </c>
      <c r="H77" s="140">
        <v>2286</v>
      </c>
      <c r="I77" s="140">
        <v>0</v>
      </c>
      <c r="J77" s="140">
        <v>0</v>
      </c>
      <c r="K77" s="121"/>
      <c r="L77" s="121"/>
      <c r="M77" s="121"/>
    </row>
    <row r="78" spans="1:13" s="117" customFormat="1" ht="15.75">
      <c r="A78" s="287">
        <v>61</v>
      </c>
      <c r="B78" s="110" t="s">
        <v>259</v>
      </c>
      <c r="C78" s="285" t="s">
        <v>93</v>
      </c>
      <c r="D78" s="285" t="s">
        <v>93</v>
      </c>
      <c r="E78" s="285" t="s">
        <v>93</v>
      </c>
      <c r="F78" s="285" t="s">
        <v>93</v>
      </c>
      <c r="G78" s="141">
        <v>11244</v>
      </c>
      <c r="H78" s="141">
        <v>11244</v>
      </c>
      <c r="I78" s="141">
        <v>3</v>
      </c>
      <c r="J78" s="141">
        <v>3</v>
      </c>
      <c r="K78" s="121"/>
      <c r="L78" s="121"/>
      <c r="M78" s="121"/>
    </row>
    <row r="79" spans="1:13" s="117" customFormat="1" ht="15.75">
      <c r="A79" s="287">
        <v>62</v>
      </c>
      <c r="B79" s="110" t="s">
        <v>260</v>
      </c>
      <c r="C79" s="285" t="s">
        <v>93</v>
      </c>
      <c r="D79" s="285" t="s">
        <v>93</v>
      </c>
      <c r="E79" s="285" t="s">
        <v>93</v>
      </c>
      <c r="F79" s="285" t="s">
        <v>93</v>
      </c>
      <c r="G79" s="140">
        <v>0</v>
      </c>
      <c r="H79" s="140">
        <v>0</v>
      </c>
      <c r="I79" s="140">
        <v>0</v>
      </c>
      <c r="J79" s="140">
        <v>0</v>
      </c>
      <c r="K79" s="121"/>
      <c r="L79" s="121"/>
      <c r="M79" s="121"/>
    </row>
    <row r="80" spans="1:13" s="117" customFormat="1" ht="15.75">
      <c r="A80" s="287">
        <v>63</v>
      </c>
      <c r="B80" s="110" t="s">
        <v>261</v>
      </c>
      <c r="C80" s="285" t="s">
        <v>93</v>
      </c>
      <c r="D80" s="285" t="s">
        <v>93</v>
      </c>
      <c r="E80" s="285" t="s">
        <v>93</v>
      </c>
      <c r="F80" s="285" t="s">
        <v>93</v>
      </c>
      <c r="G80" s="140">
        <v>3987</v>
      </c>
      <c r="H80" s="140">
        <v>3984</v>
      </c>
      <c r="I80" s="140">
        <v>0</v>
      </c>
      <c r="J80" s="140">
        <v>0</v>
      </c>
      <c r="K80" s="121"/>
      <c r="L80" s="121"/>
      <c r="M80" s="121"/>
    </row>
    <row r="81" spans="1:20" s="210" customFormat="1" ht="12.75">
      <c r="A81" s="47"/>
      <c r="B81" s="47" t="s">
        <v>264</v>
      </c>
      <c r="C81" s="47" t="s">
        <v>286</v>
      </c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213"/>
      <c r="R81" s="213"/>
      <c r="S81" s="213"/>
      <c r="T81" s="213"/>
    </row>
    <row r="82" spans="1:20" s="211" customFormat="1" ht="12.75">
      <c r="A82" s="47"/>
      <c r="B82" s="210" t="s">
        <v>288</v>
      </c>
      <c r="C82" s="47" t="s">
        <v>294</v>
      </c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213"/>
      <c r="R82" s="214"/>
      <c r="S82" s="214"/>
      <c r="T82" s="214"/>
    </row>
    <row r="83" spans="1:14" s="211" customFormat="1" ht="12.75">
      <c r="A83" s="47"/>
      <c r="B83" s="47" t="s">
        <v>293</v>
      </c>
      <c r="C83" s="47" t="s">
        <v>296</v>
      </c>
      <c r="E83" s="47"/>
      <c r="F83" s="47"/>
      <c r="G83" s="47"/>
      <c r="H83" s="47"/>
      <c r="I83" s="47"/>
      <c r="J83" s="47"/>
      <c r="K83" s="47"/>
      <c r="L83" s="47"/>
      <c r="M83" s="214"/>
      <c r="N83" s="214"/>
    </row>
    <row r="84" spans="1:20" s="211" customFormat="1" ht="12.75">
      <c r="A84" s="47"/>
      <c r="B84" s="210" t="s">
        <v>289</v>
      </c>
      <c r="C84" s="47" t="s">
        <v>287</v>
      </c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213"/>
      <c r="R84" s="214"/>
      <c r="S84" s="214"/>
      <c r="T84" s="214"/>
    </row>
    <row r="87" ht="16.5" customHeight="1"/>
    <row r="88" ht="17.25" customHeight="1"/>
    <row r="89" ht="16.5" customHeight="1"/>
    <row r="90" ht="18" customHeight="1"/>
    <row r="134" ht="22.5" customHeight="1"/>
  </sheetData>
  <sheetProtection/>
  <mergeCells count="15">
    <mergeCell ref="C6:D6"/>
    <mergeCell ref="A14:B14"/>
    <mergeCell ref="A6:B7"/>
    <mergeCell ref="A8:B8"/>
    <mergeCell ref="A10:B10"/>
    <mergeCell ref="G39:J39"/>
    <mergeCell ref="G52:J52"/>
    <mergeCell ref="I6:J6"/>
    <mergeCell ref="G6:H6"/>
    <mergeCell ref="A1:B1"/>
    <mergeCell ref="A2:J2"/>
    <mergeCell ref="A3:J3"/>
    <mergeCell ref="A4:J4"/>
    <mergeCell ref="E6:F6"/>
    <mergeCell ref="A9:B9"/>
  </mergeCells>
  <printOptions/>
  <pageMargins left="1" right="0.5" top="0.75" bottom="0.5" header="0" footer="0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4"/>
  <sheetViews>
    <sheetView zoomScalePageLayoutView="0" workbookViewId="0" topLeftCell="A91">
      <selection activeCell="C95" sqref="C95:D95"/>
    </sheetView>
  </sheetViews>
  <sheetFormatPr defaultColWidth="9.140625" defaultRowHeight="12.75"/>
  <cols>
    <col min="1" max="1" width="4.7109375" style="0" customWidth="1"/>
    <col min="2" max="2" width="17.8515625" style="0" customWidth="1"/>
    <col min="3" max="3" width="5.57421875" style="0" customWidth="1"/>
    <col min="4" max="4" width="6.28125" style="0" customWidth="1"/>
    <col min="5" max="5" width="5.28125" style="0" customWidth="1"/>
    <col min="6" max="6" width="9.28125" style="0" bestFit="1" customWidth="1"/>
    <col min="7" max="7" width="5.57421875" style="0" customWidth="1"/>
    <col min="8" max="8" width="7.7109375" style="0" customWidth="1"/>
    <col min="9" max="9" width="5.57421875" style="0" customWidth="1"/>
    <col min="10" max="10" width="11.00390625" style="0" customWidth="1"/>
    <col min="11" max="11" width="5.7109375" style="0" customWidth="1"/>
    <col min="12" max="12" width="9.28125" style="0" bestFit="1" customWidth="1"/>
    <col min="13" max="13" width="5.421875" style="0" customWidth="1"/>
    <col min="14" max="14" width="8.00390625" style="0" customWidth="1"/>
    <col min="15" max="16" width="13.140625" style="0" customWidth="1"/>
  </cols>
  <sheetData>
    <row r="1" spans="2:6" s="82" customFormat="1" ht="18.75">
      <c r="B1" s="44" t="s">
        <v>7</v>
      </c>
      <c r="C1" s="44"/>
      <c r="D1" s="44"/>
      <c r="F1" s="51"/>
    </row>
    <row r="2" spans="4:12" s="82" customFormat="1" ht="18.75">
      <c r="D2" s="45"/>
      <c r="E2" s="45"/>
      <c r="F2" s="45"/>
      <c r="G2" s="45"/>
      <c r="I2" s="45" t="s">
        <v>135</v>
      </c>
      <c r="K2" s="45"/>
      <c r="L2" s="45"/>
    </row>
    <row r="3" spans="1:16" s="82" customFormat="1" ht="18.75">
      <c r="A3" s="422" t="s">
        <v>151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</row>
    <row r="4" spans="4:12" s="82" customFormat="1" ht="18.75">
      <c r="D4" s="46"/>
      <c r="E4" s="46"/>
      <c r="F4" s="46"/>
      <c r="G4" s="46"/>
      <c r="I4" s="58" t="s">
        <v>173</v>
      </c>
      <c r="K4" s="46"/>
      <c r="L4" s="46"/>
    </row>
    <row r="8" spans="1:16" s="105" customFormat="1" ht="15.75" customHeight="1">
      <c r="A8" s="478"/>
      <c r="B8" s="478"/>
      <c r="C8" s="476" t="s">
        <v>116</v>
      </c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77"/>
      <c r="O8" s="488" t="s">
        <v>117</v>
      </c>
      <c r="P8" s="489"/>
    </row>
    <row r="9" spans="1:16" s="105" customFormat="1" ht="15.75" customHeight="1">
      <c r="A9" s="479"/>
      <c r="B9" s="479"/>
      <c r="C9" s="485" t="s">
        <v>125</v>
      </c>
      <c r="D9" s="485" t="s">
        <v>126</v>
      </c>
      <c r="E9" s="476" t="s">
        <v>124</v>
      </c>
      <c r="F9" s="480"/>
      <c r="G9" s="480"/>
      <c r="H9" s="477"/>
      <c r="I9" s="476" t="s">
        <v>118</v>
      </c>
      <c r="J9" s="480"/>
      <c r="K9" s="480"/>
      <c r="L9" s="480"/>
      <c r="M9" s="480"/>
      <c r="N9" s="477"/>
      <c r="O9" s="490"/>
      <c r="P9" s="491"/>
    </row>
    <row r="10" spans="1:16" s="105" customFormat="1" ht="81" customHeight="1">
      <c r="A10" s="479"/>
      <c r="B10" s="479"/>
      <c r="C10" s="486"/>
      <c r="D10" s="486"/>
      <c r="E10" s="476" t="s">
        <v>119</v>
      </c>
      <c r="F10" s="477"/>
      <c r="G10" s="476" t="s">
        <v>120</v>
      </c>
      <c r="H10" s="477"/>
      <c r="I10" s="481" t="s">
        <v>121</v>
      </c>
      <c r="J10" s="482"/>
      <c r="K10" s="476" t="s">
        <v>122</v>
      </c>
      <c r="L10" s="477"/>
      <c r="M10" s="476" t="s">
        <v>123</v>
      </c>
      <c r="N10" s="477"/>
      <c r="O10" s="492"/>
      <c r="P10" s="493"/>
    </row>
    <row r="11" spans="1:16" s="105" customFormat="1" ht="63" customHeight="1">
      <c r="A11" s="479"/>
      <c r="B11" s="479"/>
      <c r="C11" s="487"/>
      <c r="D11" s="487"/>
      <c r="E11" s="106" t="s">
        <v>125</v>
      </c>
      <c r="F11" s="106" t="s">
        <v>126</v>
      </c>
      <c r="G11" s="106" t="s">
        <v>125</v>
      </c>
      <c r="H11" s="106" t="s">
        <v>126</v>
      </c>
      <c r="I11" s="106" t="s">
        <v>125</v>
      </c>
      <c r="J11" s="106" t="s">
        <v>126</v>
      </c>
      <c r="K11" s="106" t="s">
        <v>125</v>
      </c>
      <c r="L11" s="106" t="s">
        <v>126</v>
      </c>
      <c r="M11" s="106" t="s">
        <v>125</v>
      </c>
      <c r="N11" s="106" t="s">
        <v>126</v>
      </c>
      <c r="O11" s="106" t="s">
        <v>125</v>
      </c>
      <c r="P11" s="106" t="s">
        <v>126</v>
      </c>
    </row>
    <row r="12" spans="1:16" s="108" customFormat="1" ht="12.75">
      <c r="A12" s="494" t="s">
        <v>40</v>
      </c>
      <c r="B12" s="495"/>
      <c r="C12" s="107">
        <v>1</v>
      </c>
      <c r="D12" s="107">
        <v>2</v>
      </c>
      <c r="E12" s="107">
        <v>3</v>
      </c>
      <c r="F12" s="107">
        <v>4</v>
      </c>
      <c r="G12" s="107">
        <v>5</v>
      </c>
      <c r="H12" s="107">
        <v>6</v>
      </c>
      <c r="I12" s="107">
        <v>7</v>
      </c>
      <c r="J12" s="107">
        <v>8</v>
      </c>
      <c r="K12" s="107">
        <v>9</v>
      </c>
      <c r="L12" s="107">
        <v>10</v>
      </c>
      <c r="M12" s="107">
        <v>11</v>
      </c>
      <c r="N12" s="107">
        <v>12</v>
      </c>
      <c r="O12" s="107">
        <v>13</v>
      </c>
      <c r="P12" s="107">
        <v>14</v>
      </c>
    </row>
    <row r="13" spans="1:16" ht="42.75" customHeight="1">
      <c r="A13" s="483" t="s">
        <v>97</v>
      </c>
      <c r="B13" s="484"/>
      <c r="C13" s="135">
        <f aca="true" t="shared" si="0" ref="C13:P13">C14+C35</f>
        <v>36</v>
      </c>
      <c r="D13" s="135">
        <f t="shared" si="0"/>
        <v>30</v>
      </c>
      <c r="E13" s="135">
        <f t="shared" si="0"/>
        <v>31</v>
      </c>
      <c r="F13" s="135">
        <f t="shared" si="0"/>
        <v>26</v>
      </c>
      <c r="G13" s="135">
        <f t="shared" si="0"/>
        <v>5</v>
      </c>
      <c r="H13" s="135">
        <f t="shared" si="0"/>
        <v>4</v>
      </c>
      <c r="I13" s="135">
        <f t="shared" si="0"/>
        <v>0</v>
      </c>
      <c r="J13" s="135">
        <f t="shared" si="0"/>
        <v>0</v>
      </c>
      <c r="K13" s="135">
        <f t="shared" si="0"/>
        <v>6</v>
      </c>
      <c r="L13" s="135">
        <f t="shared" si="0"/>
        <v>3</v>
      </c>
      <c r="M13" s="135">
        <f t="shared" si="0"/>
        <v>30</v>
      </c>
      <c r="N13" s="135">
        <f t="shared" si="0"/>
        <v>27</v>
      </c>
      <c r="O13" s="135">
        <f t="shared" si="0"/>
        <v>22747605</v>
      </c>
      <c r="P13" s="135">
        <f t="shared" si="0"/>
        <v>22671737</v>
      </c>
    </row>
    <row r="14" spans="1:16" ht="28.5" customHeight="1">
      <c r="A14" s="377" t="s">
        <v>87</v>
      </c>
      <c r="B14" s="378"/>
      <c r="C14" s="136">
        <f aca="true" t="shared" si="1" ref="C14:P14">SUM(C15:C34)</f>
        <v>6</v>
      </c>
      <c r="D14" s="136">
        <f t="shared" si="1"/>
        <v>5</v>
      </c>
      <c r="E14" s="136">
        <f t="shared" si="1"/>
        <v>3</v>
      </c>
      <c r="F14" s="136">
        <f t="shared" si="1"/>
        <v>3</v>
      </c>
      <c r="G14" s="136">
        <f t="shared" si="1"/>
        <v>3</v>
      </c>
      <c r="H14" s="136">
        <f t="shared" si="1"/>
        <v>2</v>
      </c>
      <c r="I14" s="136">
        <f t="shared" si="1"/>
        <v>0</v>
      </c>
      <c r="J14" s="136">
        <f t="shared" si="1"/>
        <v>0</v>
      </c>
      <c r="K14" s="136">
        <f t="shared" si="1"/>
        <v>0</v>
      </c>
      <c r="L14" s="136">
        <f t="shared" si="1"/>
        <v>0</v>
      </c>
      <c r="M14" s="136">
        <f t="shared" si="1"/>
        <v>6</v>
      </c>
      <c r="N14" s="136">
        <f t="shared" si="1"/>
        <v>5</v>
      </c>
      <c r="O14" s="136">
        <f t="shared" si="1"/>
        <v>18397338</v>
      </c>
      <c r="P14" s="136">
        <f t="shared" si="1"/>
        <v>18367970</v>
      </c>
    </row>
    <row r="15" spans="1:16" ht="15.75">
      <c r="A15" s="246">
        <v>1</v>
      </c>
      <c r="B15" s="113" t="s">
        <v>307</v>
      </c>
      <c r="C15" s="144">
        <f>E15+G15</f>
        <v>0</v>
      </c>
      <c r="D15" s="145">
        <f>F15+H15</f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</row>
    <row r="16" spans="1:16" ht="15.75">
      <c r="A16" s="246">
        <v>2</v>
      </c>
      <c r="B16" s="113" t="s">
        <v>202</v>
      </c>
      <c r="C16" s="144">
        <f>E16+G16</f>
        <v>0</v>
      </c>
      <c r="D16" s="145">
        <f>F16+H16</f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</row>
    <row r="17" spans="1:16" ht="31.5">
      <c r="A17" s="246">
        <v>3</v>
      </c>
      <c r="B17" s="113" t="s">
        <v>203</v>
      </c>
      <c r="C17" s="144"/>
      <c r="D17" s="14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</row>
    <row r="18" spans="1:16" ht="31.5">
      <c r="A18" s="246">
        <v>4</v>
      </c>
      <c r="B18" s="113" t="s">
        <v>204</v>
      </c>
      <c r="C18" s="144">
        <f>E18+G18</f>
        <v>0</v>
      </c>
      <c r="D18" s="145">
        <f>F18+H18</f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</row>
    <row r="19" spans="1:16" ht="31.5">
      <c r="A19" s="246">
        <v>5</v>
      </c>
      <c r="B19" s="113" t="s">
        <v>205</v>
      </c>
      <c r="C19" s="144"/>
      <c r="D19" s="14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</row>
    <row r="20" spans="1:16" ht="31.5">
      <c r="A20" s="246">
        <v>6</v>
      </c>
      <c r="B20" s="113" t="s">
        <v>206</v>
      </c>
      <c r="C20" s="144"/>
      <c r="D20" s="14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</row>
    <row r="21" spans="1:16" ht="47.25">
      <c r="A21" s="246">
        <v>7</v>
      </c>
      <c r="B21" s="113" t="s">
        <v>207</v>
      </c>
      <c r="C21" s="144">
        <f aca="true" t="shared" si="2" ref="C21:D26">E21+G21</f>
        <v>0</v>
      </c>
      <c r="D21" s="145">
        <f t="shared" si="2"/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</row>
    <row r="22" spans="1:16" ht="15.75">
      <c r="A22" s="246">
        <v>8</v>
      </c>
      <c r="B22" s="113" t="s">
        <v>208</v>
      </c>
      <c r="C22" s="144">
        <f t="shared" si="2"/>
        <v>0</v>
      </c>
      <c r="D22" s="145">
        <f t="shared" si="2"/>
        <v>0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1:16" ht="15.75">
      <c r="A23" s="246">
        <v>9</v>
      </c>
      <c r="B23" s="113" t="s">
        <v>209</v>
      </c>
      <c r="C23" s="144">
        <f t="shared" si="2"/>
        <v>0</v>
      </c>
      <c r="D23" s="145">
        <f t="shared" si="2"/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</row>
    <row r="24" spans="1:16" ht="47.25">
      <c r="A24" s="246">
        <v>10</v>
      </c>
      <c r="B24" s="113" t="s">
        <v>210</v>
      </c>
      <c r="C24" s="144">
        <f t="shared" si="2"/>
        <v>0</v>
      </c>
      <c r="D24" s="145">
        <f t="shared" si="2"/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</row>
    <row r="25" spans="1:16" ht="15.75">
      <c r="A25" s="246">
        <v>11</v>
      </c>
      <c r="B25" s="113" t="s">
        <v>240</v>
      </c>
      <c r="C25" s="144">
        <f t="shared" si="2"/>
        <v>0</v>
      </c>
      <c r="D25" s="145">
        <f t="shared" si="2"/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</row>
    <row r="26" spans="1:16" ht="15.75">
      <c r="A26" s="246">
        <v>12</v>
      </c>
      <c r="B26" s="112" t="s">
        <v>192</v>
      </c>
      <c r="C26" s="144">
        <f t="shared" si="2"/>
        <v>6</v>
      </c>
      <c r="D26" s="145">
        <f t="shared" si="2"/>
        <v>5</v>
      </c>
      <c r="E26" s="115">
        <v>3</v>
      </c>
      <c r="F26" s="115">
        <v>3</v>
      </c>
      <c r="G26" s="115">
        <v>3</v>
      </c>
      <c r="H26" s="115">
        <v>2</v>
      </c>
      <c r="I26" s="146" t="s">
        <v>290</v>
      </c>
      <c r="J26" s="146" t="s">
        <v>290</v>
      </c>
      <c r="K26" s="146" t="s">
        <v>290</v>
      </c>
      <c r="L26" s="146" t="s">
        <v>290</v>
      </c>
      <c r="M26" s="115">
        <v>6</v>
      </c>
      <c r="N26" s="115">
        <v>5</v>
      </c>
      <c r="O26" s="115">
        <v>18397338</v>
      </c>
      <c r="P26" s="115">
        <v>18367970</v>
      </c>
    </row>
    <row r="27" spans="1:16" ht="31.5">
      <c r="A27" s="246">
        <v>13</v>
      </c>
      <c r="B27" s="112" t="s">
        <v>193</v>
      </c>
      <c r="C27" s="144"/>
      <c r="D27" s="14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</row>
    <row r="28" spans="1:16" ht="31.5">
      <c r="A28" s="246">
        <v>14</v>
      </c>
      <c r="B28" s="112" t="s">
        <v>194</v>
      </c>
      <c r="C28" s="144"/>
      <c r="D28" s="14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</row>
    <row r="29" spans="1:16" ht="31.5">
      <c r="A29" s="246">
        <v>15</v>
      </c>
      <c r="B29" s="112" t="s">
        <v>195</v>
      </c>
      <c r="C29" s="144"/>
      <c r="D29" s="14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</row>
    <row r="30" spans="1:16" ht="15.75">
      <c r="A30" s="246">
        <v>16</v>
      </c>
      <c r="B30" s="112" t="s">
        <v>196</v>
      </c>
      <c r="C30" s="144"/>
      <c r="D30" s="14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</row>
    <row r="31" spans="1:16" ht="15.75">
      <c r="A31" s="246">
        <v>17</v>
      </c>
      <c r="B31" s="113" t="s">
        <v>238</v>
      </c>
      <c r="C31" s="144"/>
      <c r="D31" s="145"/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</row>
    <row r="32" spans="1:16" ht="31.5">
      <c r="A32" s="246">
        <v>18</v>
      </c>
      <c r="B32" s="112" t="s">
        <v>197</v>
      </c>
      <c r="C32" s="144"/>
      <c r="D32" s="14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</row>
    <row r="33" spans="1:16" ht="31.5">
      <c r="A33" s="246">
        <v>19</v>
      </c>
      <c r="B33" s="112" t="s">
        <v>198</v>
      </c>
      <c r="C33" s="144"/>
      <c r="D33" s="14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</row>
    <row r="34" spans="1:16" ht="15.75">
      <c r="A34" s="246">
        <v>20</v>
      </c>
      <c r="B34" s="112" t="s">
        <v>199</v>
      </c>
      <c r="C34" s="144"/>
      <c r="D34" s="14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</row>
    <row r="35" spans="1:16" ht="15.75">
      <c r="A35" s="73" t="s">
        <v>98</v>
      </c>
      <c r="B35" s="73"/>
      <c r="C35" s="136">
        <f aca="true" t="shared" si="3" ref="C35:P35">SUM(C36:C98)</f>
        <v>30</v>
      </c>
      <c r="D35" s="136">
        <f t="shared" si="3"/>
        <v>25</v>
      </c>
      <c r="E35" s="136">
        <f t="shared" si="3"/>
        <v>28</v>
      </c>
      <c r="F35" s="136">
        <f t="shared" si="3"/>
        <v>23</v>
      </c>
      <c r="G35" s="136">
        <f t="shared" si="3"/>
        <v>2</v>
      </c>
      <c r="H35" s="136">
        <f t="shared" si="3"/>
        <v>2</v>
      </c>
      <c r="I35" s="136">
        <f t="shared" si="3"/>
        <v>0</v>
      </c>
      <c r="J35" s="136">
        <f t="shared" si="3"/>
        <v>0</v>
      </c>
      <c r="K35" s="136">
        <f t="shared" si="3"/>
        <v>6</v>
      </c>
      <c r="L35" s="136">
        <f t="shared" si="3"/>
        <v>3</v>
      </c>
      <c r="M35" s="136">
        <f t="shared" si="3"/>
        <v>24</v>
      </c>
      <c r="N35" s="136">
        <f t="shared" si="3"/>
        <v>22</v>
      </c>
      <c r="O35" s="136">
        <f t="shared" si="3"/>
        <v>4350267</v>
      </c>
      <c r="P35" s="136">
        <f t="shared" si="3"/>
        <v>4303767</v>
      </c>
    </row>
    <row r="36" spans="1:16" ht="15.75">
      <c r="A36" s="154">
        <v>1</v>
      </c>
      <c r="B36" s="155" t="s">
        <v>175</v>
      </c>
      <c r="C36" s="144">
        <f aca="true" t="shared" si="4" ref="C36:C98">E36+G36</f>
        <v>0</v>
      </c>
      <c r="D36" s="145">
        <f aca="true" t="shared" si="5" ref="D36:D98">F36+H36</f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</row>
    <row r="37" spans="1:16" ht="15.75">
      <c r="A37" s="154">
        <v>2</v>
      </c>
      <c r="B37" s="155" t="s">
        <v>263</v>
      </c>
      <c r="C37" s="144">
        <f t="shared" si="4"/>
        <v>0</v>
      </c>
      <c r="D37" s="145">
        <f t="shared" si="5"/>
        <v>0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15">
        <v>0</v>
      </c>
    </row>
    <row r="38" spans="1:16" ht="15.75">
      <c r="A38" s="154">
        <v>3</v>
      </c>
      <c r="B38" s="155" t="s">
        <v>176</v>
      </c>
      <c r="C38" s="144">
        <f t="shared" si="4"/>
        <v>0</v>
      </c>
      <c r="D38" s="145">
        <f t="shared" si="5"/>
        <v>0</v>
      </c>
      <c r="E38" s="115">
        <v>0</v>
      </c>
      <c r="F38" s="115">
        <v>0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</row>
    <row r="39" spans="1:16" ht="15.75">
      <c r="A39" s="154">
        <v>4</v>
      </c>
      <c r="B39" s="155" t="s">
        <v>177</v>
      </c>
      <c r="C39" s="144">
        <f t="shared" si="4"/>
        <v>0</v>
      </c>
      <c r="D39" s="145">
        <f t="shared" si="5"/>
        <v>0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</row>
    <row r="40" spans="1:16" ht="15.75">
      <c r="A40" s="154">
        <v>5</v>
      </c>
      <c r="B40" s="155" t="s">
        <v>178</v>
      </c>
      <c r="C40" s="144">
        <f t="shared" si="4"/>
        <v>0</v>
      </c>
      <c r="D40" s="145">
        <f t="shared" si="5"/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115">
        <v>0</v>
      </c>
    </row>
    <row r="41" spans="1:16" ht="15.75">
      <c r="A41" s="154">
        <v>6</v>
      </c>
      <c r="B41" s="155" t="s">
        <v>179</v>
      </c>
      <c r="C41" s="144">
        <f t="shared" si="4"/>
        <v>0</v>
      </c>
      <c r="D41" s="145">
        <f t="shared" si="5"/>
        <v>0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  <c r="M41" s="115">
        <v>0</v>
      </c>
      <c r="N41" s="115">
        <v>0</v>
      </c>
      <c r="O41" s="115">
        <v>0</v>
      </c>
      <c r="P41" s="115">
        <v>0</v>
      </c>
    </row>
    <row r="42" spans="1:16" ht="15.75">
      <c r="A42" s="154">
        <v>7</v>
      </c>
      <c r="B42" s="155" t="s">
        <v>180</v>
      </c>
      <c r="C42" s="144">
        <f t="shared" si="4"/>
        <v>0</v>
      </c>
      <c r="D42" s="145">
        <f t="shared" si="5"/>
        <v>0</v>
      </c>
      <c r="E42" s="115">
        <v>0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</row>
    <row r="43" spans="1:16" ht="15.75">
      <c r="A43" s="154">
        <v>8</v>
      </c>
      <c r="B43" s="155" t="s">
        <v>181</v>
      </c>
      <c r="C43" s="144">
        <f t="shared" si="4"/>
        <v>0</v>
      </c>
      <c r="D43" s="145">
        <f t="shared" si="5"/>
        <v>0</v>
      </c>
      <c r="E43" s="115">
        <v>0</v>
      </c>
      <c r="F43" s="115">
        <v>0</v>
      </c>
      <c r="G43" s="115">
        <v>0</v>
      </c>
      <c r="H43" s="115">
        <v>0</v>
      </c>
      <c r="I43" s="115">
        <v>0</v>
      </c>
      <c r="J43" s="115">
        <v>0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</row>
    <row r="44" spans="1:16" ht="15.75">
      <c r="A44" s="154">
        <v>9</v>
      </c>
      <c r="B44" s="155" t="s">
        <v>182</v>
      </c>
      <c r="C44" s="144">
        <f t="shared" si="4"/>
        <v>0</v>
      </c>
      <c r="D44" s="145">
        <f t="shared" si="5"/>
        <v>0</v>
      </c>
      <c r="E44" s="115">
        <v>0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</row>
    <row r="45" spans="1:16" ht="15.75">
      <c r="A45" s="154">
        <v>10</v>
      </c>
      <c r="B45" s="155" t="s">
        <v>183</v>
      </c>
      <c r="C45" s="144">
        <f t="shared" si="4"/>
        <v>0</v>
      </c>
      <c r="D45" s="145">
        <f t="shared" si="5"/>
        <v>0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  <c r="J45" s="115">
        <v>0</v>
      </c>
      <c r="K45" s="115">
        <v>0</v>
      </c>
      <c r="L45" s="115">
        <v>0</v>
      </c>
      <c r="M45" s="115">
        <v>0</v>
      </c>
      <c r="N45" s="115">
        <v>0</v>
      </c>
      <c r="O45" s="115">
        <v>0</v>
      </c>
      <c r="P45" s="115">
        <v>0</v>
      </c>
    </row>
    <row r="46" spans="1:16" ht="15.75">
      <c r="A46" s="154">
        <v>11</v>
      </c>
      <c r="B46" s="155" t="s">
        <v>184</v>
      </c>
      <c r="C46" s="144">
        <f t="shared" si="4"/>
        <v>0</v>
      </c>
      <c r="D46" s="145">
        <f t="shared" si="5"/>
        <v>0</v>
      </c>
      <c r="E46" s="115">
        <v>0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</row>
    <row r="47" spans="1:16" ht="15.75">
      <c r="A47" s="154">
        <v>12</v>
      </c>
      <c r="B47" s="155" t="s">
        <v>185</v>
      </c>
      <c r="C47" s="144">
        <f t="shared" si="4"/>
        <v>0</v>
      </c>
      <c r="D47" s="145">
        <f t="shared" si="5"/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</row>
    <row r="48" spans="1:16" ht="15.75">
      <c r="A48" s="154">
        <v>13</v>
      </c>
      <c r="B48" s="155" t="s">
        <v>186</v>
      </c>
      <c r="C48" s="144">
        <f t="shared" si="4"/>
        <v>0</v>
      </c>
      <c r="D48" s="145">
        <f t="shared" si="5"/>
        <v>0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  <c r="J48" s="115">
        <v>0</v>
      </c>
      <c r="K48" s="115">
        <v>0</v>
      </c>
      <c r="L48" s="115">
        <v>0</v>
      </c>
      <c r="M48" s="115">
        <v>0</v>
      </c>
      <c r="N48" s="115">
        <v>0</v>
      </c>
      <c r="O48" s="115">
        <v>0</v>
      </c>
      <c r="P48" s="115">
        <v>0</v>
      </c>
    </row>
    <row r="49" spans="1:16" ht="15.75">
      <c r="A49" s="154">
        <v>14</v>
      </c>
      <c r="B49" s="155" t="s">
        <v>187</v>
      </c>
      <c r="C49" s="144">
        <f t="shared" si="4"/>
        <v>0</v>
      </c>
      <c r="D49" s="145">
        <f t="shared" si="5"/>
        <v>0</v>
      </c>
      <c r="E49" s="115">
        <v>0</v>
      </c>
      <c r="F49" s="115">
        <v>0</v>
      </c>
      <c r="G49" s="115">
        <v>0</v>
      </c>
      <c r="H49" s="115">
        <v>0</v>
      </c>
      <c r="I49" s="115">
        <v>0</v>
      </c>
      <c r="J49" s="115">
        <v>0</v>
      </c>
      <c r="K49" s="115">
        <v>0</v>
      </c>
      <c r="L49" s="115">
        <v>0</v>
      </c>
      <c r="M49" s="115">
        <v>0</v>
      </c>
      <c r="N49" s="115">
        <v>0</v>
      </c>
      <c r="O49" s="115">
        <v>0</v>
      </c>
      <c r="P49" s="115">
        <v>0</v>
      </c>
    </row>
    <row r="50" spans="1:16" ht="15.75">
      <c r="A50" s="154">
        <v>15</v>
      </c>
      <c r="B50" s="155" t="s">
        <v>188</v>
      </c>
      <c r="C50" s="144">
        <f t="shared" si="4"/>
        <v>0</v>
      </c>
      <c r="D50" s="145">
        <f t="shared" si="5"/>
        <v>0</v>
      </c>
      <c r="E50" s="115">
        <v>0</v>
      </c>
      <c r="F50" s="115">
        <v>0</v>
      </c>
      <c r="G50" s="115">
        <v>0</v>
      </c>
      <c r="H50" s="115">
        <v>0</v>
      </c>
      <c r="I50" s="115">
        <v>0</v>
      </c>
      <c r="J50" s="115">
        <v>0</v>
      </c>
      <c r="K50" s="115">
        <v>0</v>
      </c>
      <c r="L50" s="115">
        <v>0</v>
      </c>
      <c r="M50" s="115">
        <v>0</v>
      </c>
      <c r="N50" s="115">
        <v>0</v>
      </c>
      <c r="O50" s="115">
        <v>0</v>
      </c>
      <c r="P50" s="115">
        <v>0</v>
      </c>
    </row>
    <row r="51" spans="1:16" ht="15.75">
      <c r="A51" s="154">
        <v>16</v>
      </c>
      <c r="B51" s="155" t="s">
        <v>189</v>
      </c>
      <c r="C51" s="144">
        <f t="shared" si="4"/>
        <v>0</v>
      </c>
      <c r="D51" s="145">
        <f t="shared" si="5"/>
        <v>0</v>
      </c>
      <c r="E51" s="115">
        <v>0</v>
      </c>
      <c r="F51" s="115">
        <v>0</v>
      </c>
      <c r="G51" s="115">
        <v>0</v>
      </c>
      <c r="H51" s="115">
        <v>0</v>
      </c>
      <c r="I51" s="115">
        <v>0</v>
      </c>
      <c r="J51" s="115">
        <v>0</v>
      </c>
      <c r="K51" s="115">
        <v>0</v>
      </c>
      <c r="L51" s="115">
        <v>0</v>
      </c>
      <c r="M51" s="115">
        <v>0</v>
      </c>
      <c r="N51" s="115">
        <v>0</v>
      </c>
      <c r="O51" s="115">
        <v>0</v>
      </c>
      <c r="P51" s="115">
        <v>0</v>
      </c>
    </row>
    <row r="52" spans="1:16" ht="15.75">
      <c r="A52" s="154">
        <v>17</v>
      </c>
      <c r="B52" s="155" t="s">
        <v>190</v>
      </c>
      <c r="C52" s="144">
        <f t="shared" si="4"/>
        <v>0</v>
      </c>
      <c r="D52" s="145">
        <f t="shared" si="5"/>
        <v>0</v>
      </c>
      <c r="E52" s="115">
        <v>0</v>
      </c>
      <c r="F52" s="115">
        <v>0</v>
      </c>
      <c r="G52" s="115">
        <v>0</v>
      </c>
      <c r="H52" s="115">
        <v>0</v>
      </c>
      <c r="I52" s="115">
        <v>0</v>
      </c>
      <c r="J52" s="115">
        <v>0</v>
      </c>
      <c r="K52" s="115">
        <v>0</v>
      </c>
      <c r="L52" s="115">
        <v>0</v>
      </c>
      <c r="M52" s="115">
        <v>0</v>
      </c>
      <c r="N52" s="115">
        <v>0</v>
      </c>
      <c r="O52" s="115">
        <v>0</v>
      </c>
      <c r="P52" s="115">
        <v>0</v>
      </c>
    </row>
    <row r="53" spans="1:16" ht="15.75">
      <c r="A53" s="154">
        <v>18</v>
      </c>
      <c r="B53" s="155" t="s">
        <v>191</v>
      </c>
      <c r="C53" s="144">
        <f t="shared" si="4"/>
        <v>0</v>
      </c>
      <c r="D53" s="145">
        <f t="shared" si="5"/>
        <v>0</v>
      </c>
      <c r="E53" s="115">
        <v>0</v>
      </c>
      <c r="F53" s="115">
        <v>0</v>
      </c>
      <c r="G53" s="115">
        <v>0</v>
      </c>
      <c r="H53" s="115">
        <v>0</v>
      </c>
      <c r="I53" s="115">
        <v>0</v>
      </c>
      <c r="J53" s="115">
        <v>0</v>
      </c>
      <c r="K53" s="115">
        <v>0</v>
      </c>
      <c r="L53" s="115">
        <v>0</v>
      </c>
      <c r="M53" s="115">
        <v>0</v>
      </c>
      <c r="N53" s="115">
        <v>0</v>
      </c>
      <c r="O53" s="115">
        <v>0</v>
      </c>
      <c r="P53" s="115">
        <v>0</v>
      </c>
    </row>
    <row r="54" spans="1:16" ht="15.75">
      <c r="A54" s="154">
        <v>19</v>
      </c>
      <c r="B54" s="157" t="s">
        <v>211</v>
      </c>
      <c r="C54" s="144">
        <f>E54</f>
        <v>3</v>
      </c>
      <c r="D54" s="145">
        <f>F54</f>
        <v>0</v>
      </c>
      <c r="E54" s="115">
        <v>3</v>
      </c>
      <c r="F54" s="115"/>
      <c r="G54" s="146" t="s">
        <v>290</v>
      </c>
      <c r="H54" s="146" t="s">
        <v>290</v>
      </c>
      <c r="I54" s="146" t="s">
        <v>290</v>
      </c>
      <c r="J54" s="146" t="s">
        <v>290</v>
      </c>
      <c r="K54" s="115">
        <v>3</v>
      </c>
      <c r="L54" s="115" t="s">
        <v>290</v>
      </c>
      <c r="M54" s="146" t="s">
        <v>290</v>
      </c>
      <c r="N54" s="146" t="s">
        <v>290</v>
      </c>
      <c r="O54" s="146" t="s">
        <v>290</v>
      </c>
      <c r="P54" s="146" t="s">
        <v>290</v>
      </c>
    </row>
    <row r="55" spans="1:16" ht="15.75">
      <c r="A55" s="154">
        <v>20</v>
      </c>
      <c r="B55" s="157" t="s">
        <v>212</v>
      </c>
      <c r="C55" s="144">
        <f t="shared" si="4"/>
        <v>0</v>
      </c>
      <c r="D55" s="145">
        <f t="shared" si="5"/>
        <v>0</v>
      </c>
      <c r="E55" s="115">
        <v>0</v>
      </c>
      <c r="F55" s="115">
        <v>0</v>
      </c>
      <c r="G55" s="115">
        <v>0</v>
      </c>
      <c r="H55" s="115">
        <v>0</v>
      </c>
      <c r="I55" s="115">
        <v>0</v>
      </c>
      <c r="J55" s="115">
        <v>0</v>
      </c>
      <c r="K55" s="115">
        <v>0</v>
      </c>
      <c r="L55" s="115">
        <v>0</v>
      </c>
      <c r="M55" s="115">
        <v>0</v>
      </c>
      <c r="N55" s="115">
        <v>0</v>
      </c>
      <c r="O55" s="115">
        <v>0</v>
      </c>
      <c r="P55" s="115">
        <v>0</v>
      </c>
    </row>
    <row r="56" spans="1:16" ht="15.75">
      <c r="A56" s="154">
        <v>21</v>
      </c>
      <c r="B56" s="157" t="s">
        <v>213</v>
      </c>
      <c r="C56" s="144">
        <f t="shared" si="4"/>
        <v>0</v>
      </c>
      <c r="D56" s="145">
        <f t="shared" si="5"/>
        <v>0</v>
      </c>
      <c r="E56" s="115">
        <v>0</v>
      </c>
      <c r="F56" s="115">
        <v>0</v>
      </c>
      <c r="G56" s="115">
        <v>0</v>
      </c>
      <c r="H56" s="115">
        <v>0</v>
      </c>
      <c r="I56" s="115">
        <v>0</v>
      </c>
      <c r="J56" s="115">
        <v>0</v>
      </c>
      <c r="K56" s="115">
        <v>0</v>
      </c>
      <c r="L56" s="115">
        <v>0</v>
      </c>
      <c r="M56" s="115">
        <v>0</v>
      </c>
      <c r="N56" s="115">
        <v>0</v>
      </c>
      <c r="O56" s="115">
        <v>0</v>
      </c>
      <c r="P56" s="115">
        <v>0</v>
      </c>
    </row>
    <row r="57" spans="1:16" ht="15.75">
      <c r="A57" s="154">
        <v>22</v>
      </c>
      <c r="B57" s="157" t="s">
        <v>214</v>
      </c>
      <c r="C57" s="144">
        <f t="shared" si="4"/>
        <v>0</v>
      </c>
      <c r="D57" s="145">
        <f t="shared" si="5"/>
        <v>0</v>
      </c>
      <c r="E57" s="115">
        <v>0</v>
      </c>
      <c r="F57" s="115">
        <v>0</v>
      </c>
      <c r="G57" s="115">
        <v>0</v>
      </c>
      <c r="H57" s="115">
        <v>0</v>
      </c>
      <c r="I57" s="115">
        <v>0</v>
      </c>
      <c r="J57" s="115">
        <v>0</v>
      </c>
      <c r="K57" s="115">
        <v>0</v>
      </c>
      <c r="L57" s="115">
        <v>0</v>
      </c>
      <c r="M57" s="115">
        <v>0</v>
      </c>
      <c r="N57" s="115">
        <v>0</v>
      </c>
      <c r="O57" s="115">
        <v>0</v>
      </c>
      <c r="P57" s="115">
        <v>0</v>
      </c>
    </row>
    <row r="58" spans="1:16" ht="15.75">
      <c r="A58" s="154">
        <v>23</v>
      </c>
      <c r="B58" s="157" t="s">
        <v>215</v>
      </c>
      <c r="C58" s="144">
        <f t="shared" si="4"/>
        <v>0</v>
      </c>
      <c r="D58" s="145">
        <f t="shared" si="5"/>
        <v>0</v>
      </c>
      <c r="E58" s="115">
        <v>0</v>
      </c>
      <c r="F58" s="115">
        <v>0</v>
      </c>
      <c r="G58" s="115">
        <v>0</v>
      </c>
      <c r="H58" s="115">
        <v>0</v>
      </c>
      <c r="I58" s="115">
        <v>0</v>
      </c>
      <c r="J58" s="115">
        <v>0</v>
      </c>
      <c r="K58" s="115">
        <v>0</v>
      </c>
      <c r="L58" s="115">
        <v>0</v>
      </c>
      <c r="M58" s="115">
        <v>0</v>
      </c>
      <c r="N58" s="115">
        <v>0</v>
      </c>
      <c r="O58" s="115">
        <v>0</v>
      </c>
      <c r="P58" s="115">
        <v>0</v>
      </c>
    </row>
    <row r="59" spans="1:16" ht="15.75">
      <c r="A59" s="156">
        <v>24</v>
      </c>
      <c r="B59" s="158" t="s">
        <v>216</v>
      </c>
      <c r="C59" s="144">
        <f t="shared" si="4"/>
        <v>0</v>
      </c>
      <c r="D59" s="145">
        <f t="shared" si="5"/>
        <v>0</v>
      </c>
      <c r="E59" s="115">
        <v>0</v>
      </c>
      <c r="F59" s="115">
        <v>0</v>
      </c>
      <c r="G59" s="115">
        <v>0</v>
      </c>
      <c r="H59" s="115">
        <v>0</v>
      </c>
      <c r="I59" s="115">
        <v>0</v>
      </c>
      <c r="J59" s="115">
        <v>0</v>
      </c>
      <c r="K59" s="115">
        <v>0</v>
      </c>
      <c r="L59" s="115">
        <v>0</v>
      </c>
      <c r="M59" s="115">
        <v>0</v>
      </c>
      <c r="N59" s="115">
        <v>0</v>
      </c>
      <c r="O59" s="115">
        <v>0</v>
      </c>
      <c r="P59" s="115">
        <v>0</v>
      </c>
    </row>
    <row r="60" spans="1:16" ht="15.75">
      <c r="A60" s="154">
        <v>25</v>
      </c>
      <c r="B60" s="157" t="s">
        <v>217</v>
      </c>
      <c r="C60" s="144">
        <f t="shared" si="4"/>
        <v>0</v>
      </c>
      <c r="D60" s="145">
        <f t="shared" si="5"/>
        <v>0</v>
      </c>
      <c r="E60" s="115">
        <v>0</v>
      </c>
      <c r="F60" s="115">
        <v>0</v>
      </c>
      <c r="G60" s="115">
        <v>0</v>
      </c>
      <c r="H60" s="115">
        <v>0</v>
      </c>
      <c r="I60" s="115">
        <v>0</v>
      </c>
      <c r="J60" s="115">
        <v>0</v>
      </c>
      <c r="K60" s="115">
        <v>0</v>
      </c>
      <c r="L60" s="115">
        <v>0</v>
      </c>
      <c r="M60" s="115">
        <v>0</v>
      </c>
      <c r="N60" s="115">
        <v>0</v>
      </c>
      <c r="O60" s="115">
        <v>0</v>
      </c>
      <c r="P60" s="115">
        <v>0</v>
      </c>
    </row>
    <row r="61" spans="1:16" ht="15.75">
      <c r="A61" s="154">
        <v>26</v>
      </c>
      <c r="B61" s="157" t="s">
        <v>218</v>
      </c>
      <c r="C61" s="144">
        <f t="shared" si="4"/>
        <v>0</v>
      </c>
      <c r="D61" s="145">
        <f t="shared" si="5"/>
        <v>0</v>
      </c>
      <c r="E61" s="115">
        <v>0</v>
      </c>
      <c r="F61" s="115">
        <v>0</v>
      </c>
      <c r="G61" s="115">
        <v>0</v>
      </c>
      <c r="H61" s="115">
        <v>0</v>
      </c>
      <c r="I61" s="115">
        <v>0</v>
      </c>
      <c r="J61" s="115">
        <v>0</v>
      </c>
      <c r="K61" s="115">
        <v>0</v>
      </c>
      <c r="L61" s="115">
        <v>0</v>
      </c>
      <c r="M61" s="115">
        <v>0</v>
      </c>
      <c r="N61" s="115">
        <v>0</v>
      </c>
      <c r="O61" s="115">
        <v>0</v>
      </c>
      <c r="P61" s="115">
        <v>0</v>
      </c>
    </row>
    <row r="62" spans="1:16" ht="15.75">
      <c r="A62" s="154">
        <v>27</v>
      </c>
      <c r="B62" s="157" t="s">
        <v>219</v>
      </c>
      <c r="C62" s="144">
        <f t="shared" si="4"/>
        <v>0</v>
      </c>
      <c r="D62" s="145">
        <f t="shared" si="5"/>
        <v>0</v>
      </c>
      <c r="E62" s="115">
        <v>0</v>
      </c>
      <c r="F62" s="115">
        <v>0</v>
      </c>
      <c r="G62" s="115">
        <v>0</v>
      </c>
      <c r="H62" s="115">
        <v>0</v>
      </c>
      <c r="I62" s="115">
        <v>0</v>
      </c>
      <c r="J62" s="115">
        <v>0</v>
      </c>
      <c r="K62" s="115">
        <v>0</v>
      </c>
      <c r="L62" s="115">
        <v>0</v>
      </c>
      <c r="M62" s="115">
        <v>0</v>
      </c>
      <c r="N62" s="115">
        <v>0</v>
      </c>
      <c r="O62" s="115">
        <v>0</v>
      </c>
      <c r="P62" s="115">
        <v>0</v>
      </c>
    </row>
    <row r="63" spans="1:16" ht="15.75">
      <c r="A63" s="154">
        <v>28</v>
      </c>
      <c r="B63" s="157" t="s">
        <v>220</v>
      </c>
      <c r="C63" s="144">
        <f t="shared" si="4"/>
        <v>0</v>
      </c>
      <c r="D63" s="145">
        <f t="shared" si="5"/>
        <v>0</v>
      </c>
      <c r="E63" s="115">
        <v>0</v>
      </c>
      <c r="F63" s="115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0</v>
      </c>
    </row>
    <row r="64" spans="1:16" ht="15.75">
      <c r="A64" s="154">
        <v>29</v>
      </c>
      <c r="B64" s="157" t="s">
        <v>221</v>
      </c>
      <c r="C64" s="144">
        <f t="shared" si="4"/>
        <v>0</v>
      </c>
      <c r="D64" s="145">
        <f t="shared" si="5"/>
        <v>0</v>
      </c>
      <c r="E64" s="115">
        <v>0</v>
      </c>
      <c r="F64" s="115">
        <v>0</v>
      </c>
      <c r="G64" s="115">
        <v>0</v>
      </c>
      <c r="H64" s="115">
        <v>0</v>
      </c>
      <c r="I64" s="115">
        <v>0</v>
      </c>
      <c r="J64" s="115">
        <v>0</v>
      </c>
      <c r="K64" s="115">
        <v>0</v>
      </c>
      <c r="L64" s="115">
        <v>0</v>
      </c>
      <c r="M64" s="115">
        <v>0</v>
      </c>
      <c r="N64" s="115">
        <v>0</v>
      </c>
      <c r="O64" s="115">
        <v>0</v>
      </c>
      <c r="P64" s="115">
        <v>0</v>
      </c>
    </row>
    <row r="65" spans="1:16" ht="15.75">
      <c r="A65" s="154">
        <v>30</v>
      </c>
      <c r="B65" s="157" t="s">
        <v>222</v>
      </c>
      <c r="C65" s="144">
        <f t="shared" si="4"/>
        <v>0</v>
      </c>
      <c r="D65" s="145">
        <f t="shared" si="5"/>
        <v>0</v>
      </c>
      <c r="E65" s="115">
        <v>0</v>
      </c>
      <c r="F65" s="115">
        <v>0</v>
      </c>
      <c r="G65" s="115">
        <v>0</v>
      </c>
      <c r="H65" s="115">
        <v>0</v>
      </c>
      <c r="I65" s="115">
        <v>0</v>
      </c>
      <c r="J65" s="115">
        <v>0</v>
      </c>
      <c r="K65" s="115">
        <v>0</v>
      </c>
      <c r="L65" s="115">
        <v>0</v>
      </c>
      <c r="M65" s="115">
        <v>0</v>
      </c>
      <c r="N65" s="115">
        <v>0</v>
      </c>
      <c r="O65" s="115">
        <v>0</v>
      </c>
      <c r="P65" s="115">
        <v>0</v>
      </c>
    </row>
    <row r="66" spans="1:16" ht="15.75">
      <c r="A66" s="154">
        <v>31</v>
      </c>
      <c r="B66" s="157" t="s">
        <v>223</v>
      </c>
      <c r="C66" s="144">
        <f t="shared" si="4"/>
        <v>0</v>
      </c>
      <c r="D66" s="145">
        <f t="shared" si="5"/>
        <v>0</v>
      </c>
      <c r="E66" s="115">
        <v>0</v>
      </c>
      <c r="F66" s="115">
        <v>0</v>
      </c>
      <c r="G66" s="115">
        <v>0</v>
      </c>
      <c r="H66" s="115">
        <v>0</v>
      </c>
      <c r="I66" s="115">
        <v>0</v>
      </c>
      <c r="J66" s="115">
        <v>0</v>
      </c>
      <c r="K66" s="115">
        <v>0</v>
      </c>
      <c r="L66" s="115">
        <v>0</v>
      </c>
      <c r="M66" s="115">
        <v>0</v>
      </c>
      <c r="N66" s="115">
        <v>0</v>
      </c>
      <c r="O66" s="115">
        <v>0</v>
      </c>
      <c r="P66" s="115">
        <v>0</v>
      </c>
    </row>
    <row r="67" spans="1:16" ht="15.75">
      <c r="A67" s="154">
        <v>32</v>
      </c>
      <c r="B67" s="157" t="s">
        <v>224</v>
      </c>
      <c r="C67" s="144">
        <f t="shared" si="4"/>
        <v>0</v>
      </c>
      <c r="D67" s="145">
        <f t="shared" si="5"/>
        <v>0</v>
      </c>
      <c r="E67" s="115">
        <v>0</v>
      </c>
      <c r="F67" s="115">
        <v>0</v>
      </c>
      <c r="G67" s="115">
        <v>0</v>
      </c>
      <c r="H67" s="115">
        <v>0</v>
      </c>
      <c r="I67" s="115">
        <v>0</v>
      </c>
      <c r="J67" s="115">
        <v>0</v>
      </c>
      <c r="K67" s="115">
        <v>0</v>
      </c>
      <c r="L67" s="115">
        <v>0</v>
      </c>
      <c r="M67" s="115">
        <v>0</v>
      </c>
      <c r="N67" s="115">
        <v>0</v>
      </c>
      <c r="O67" s="115">
        <v>0</v>
      </c>
      <c r="P67" s="115">
        <v>0</v>
      </c>
    </row>
    <row r="68" spans="1:16" ht="15.75">
      <c r="A68" s="154">
        <v>33</v>
      </c>
      <c r="B68" s="157" t="s">
        <v>225</v>
      </c>
      <c r="C68" s="144">
        <f t="shared" si="4"/>
        <v>0</v>
      </c>
      <c r="D68" s="145">
        <f t="shared" si="5"/>
        <v>0</v>
      </c>
      <c r="E68" s="115">
        <v>0</v>
      </c>
      <c r="F68" s="115">
        <v>0</v>
      </c>
      <c r="G68" s="115">
        <v>0</v>
      </c>
      <c r="H68" s="115">
        <v>0</v>
      </c>
      <c r="I68" s="115">
        <v>0</v>
      </c>
      <c r="J68" s="115">
        <v>0</v>
      </c>
      <c r="K68" s="115">
        <v>0</v>
      </c>
      <c r="L68" s="115">
        <v>0</v>
      </c>
      <c r="M68" s="115">
        <v>0</v>
      </c>
      <c r="N68" s="115">
        <v>0</v>
      </c>
      <c r="O68" s="115">
        <v>0</v>
      </c>
      <c r="P68" s="115">
        <v>0</v>
      </c>
    </row>
    <row r="69" spans="1:16" ht="15.75">
      <c r="A69" s="154">
        <v>34</v>
      </c>
      <c r="B69" s="157" t="s">
        <v>226</v>
      </c>
      <c r="C69" s="144">
        <f t="shared" si="4"/>
        <v>0</v>
      </c>
      <c r="D69" s="145">
        <f t="shared" si="5"/>
        <v>0</v>
      </c>
      <c r="E69" s="115">
        <v>0</v>
      </c>
      <c r="F69" s="115">
        <v>0</v>
      </c>
      <c r="G69" s="115">
        <v>0</v>
      </c>
      <c r="H69" s="115">
        <v>0</v>
      </c>
      <c r="I69" s="115">
        <v>0</v>
      </c>
      <c r="J69" s="115">
        <v>0</v>
      </c>
      <c r="K69" s="115">
        <v>0</v>
      </c>
      <c r="L69" s="115">
        <v>0</v>
      </c>
      <c r="M69" s="115">
        <v>0</v>
      </c>
      <c r="N69" s="115">
        <v>0</v>
      </c>
      <c r="O69" s="115">
        <v>0</v>
      </c>
      <c r="P69" s="115">
        <v>0</v>
      </c>
    </row>
    <row r="70" spans="1:16" ht="15.75">
      <c r="A70" s="154">
        <v>35</v>
      </c>
      <c r="B70" s="157" t="s">
        <v>227</v>
      </c>
      <c r="C70" s="144">
        <f t="shared" si="4"/>
        <v>0</v>
      </c>
      <c r="D70" s="145">
        <f t="shared" si="5"/>
        <v>0</v>
      </c>
      <c r="E70" s="115">
        <v>0</v>
      </c>
      <c r="F70" s="115">
        <v>0</v>
      </c>
      <c r="G70" s="115">
        <v>0</v>
      </c>
      <c r="H70" s="115">
        <v>0</v>
      </c>
      <c r="I70" s="115">
        <v>0</v>
      </c>
      <c r="J70" s="115">
        <v>0</v>
      </c>
      <c r="K70" s="115">
        <v>0</v>
      </c>
      <c r="L70" s="115">
        <v>0</v>
      </c>
      <c r="M70" s="115">
        <v>0</v>
      </c>
      <c r="N70" s="115">
        <v>0</v>
      </c>
      <c r="O70" s="115">
        <v>0</v>
      </c>
      <c r="P70" s="115">
        <v>0</v>
      </c>
    </row>
    <row r="71" spans="1:16" ht="15.75">
      <c r="A71" s="154">
        <v>36</v>
      </c>
      <c r="B71" s="159" t="s">
        <v>229</v>
      </c>
      <c r="C71" s="144">
        <f t="shared" si="4"/>
        <v>0</v>
      </c>
      <c r="D71" s="145">
        <f t="shared" si="5"/>
        <v>0</v>
      </c>
      <c r="E71" s="115">
        <v>0</v>
      </c>
      <c r="F71" s="115">
        <v>0</v>
      </c>
      <c r="G71" s="115">
        <v>0</v>
      </c>
      <c r="H71" s="115">
        <v>0</v>
      </c>
      <c r="I71" s="115">
        <v>0</v>
      </c>
      <c r="J71" s="115">
        <v>0</v>
      </c>
      <c r="K71" s="115">
        <v>0</v>
      </c>
      <c r="L71" s="115">
        <v>0</v>
      </c>
      <c r="M71" s="115">
        <v>0</v>
      </c>
      <c r="N71" s="115">
        <v>0</v>
      </c>
      <c r="O71" s="115">
        <v>0</v>
      </c>
      <c r="P71" s="115">
        <v>0</v>
      </c>
    </row>
    <row r="72" spans="1:16" ht="15.75">
      <c r="A72" s="154">
        <v>37</v>
      </c>
      <c r="B72" s="159" t="s">
        <v>230</v>
      </c>
      <c r="C72" s="144">
        <f t="shared" si="4"/>
        <v>0</v>
      </c>
      <c r="D72" s="145">
        <f t="shared" si="5"/>
        <v>0</v>
      </c>
      <c r="E72" s="115">
        <v>0</v>
      </c>
      <c r="F72" s="115">
        <v>0</v>
      </c>
      <c r="G72" s="115">
        <v>0</v>
      </c>
      <c r="H72" s="115">
        <v>0</v>
      </c>
      <c r="I72" s="115">
        <v>0</v>
      </c>
      <c r="J72" s="115">
        <v>0</v>
      </c>
      <c r="K72" s="115">
        <v>0</v>
      </c>
      <c r="L72" s="115">
        <v>0</v>
      </c>
      <c r="M72" s="115">
        <v>0</v>
      </c>
      <c r="N72" s="115">
        <v>0</v>
      </c>
      <c r="O72" s="115">
        <v>0</v>
      </c>
      <c r="P72" s="115">
        <v>0</v>
      </c>
    </row>
    <row r="73" spans="1:16" ht="15.75">
      <c r="A73" s="154">
        <v>38</v>
      </c>
      <c r="B73" s="159" t="s">
        <v>231</v>
      </c>
      <c r="C73" s="144">
        <f t="shared" si="4"/>
        <v>0</v>
      </c>
      <c r="D73" s="145">
        <f t="shared" si="5"/>
        <v>0</v>
      </c>
      <c r="E73" s="115">
        <v>0</v>
      </c>
      <c r="F73" s="115">
        <v>0</v>
      </c>
      <c r="G73" s="115">
        <v>0</v>
      </c>
      <c r="H73" s="115">
        <v>0</v>
      </c>
      <c r="I73" s="115">
        <v>0</v>
      </c>
      <c r="J73" s="115">
        <v>0</v>
      </c>
      <c r="K73" s="115">
        <v>0</v>
      </c>
      <c r="L73" s="115">
        <v>0</v>
      </c>
      <c r="M73" s="115">
        <v>0</v>
      </c>
      <c r="N73" s="115">
        <v>0</v>
      </c>
      <c r="O73" s="115">
        <v>0</v>
      </c>
      <c r="P73" s="115">
        <v>0</v>
      </c>
    </row>
    <row r="74" spans="1:16" ht="15.75">
      <c r="A74" s="154">
        <v>39</v>
      </c>
      <c r="B74" s="159" t="s">
        <v>232</v>
      </c>
      <c r="C74" s="144">
        <f t="shared" si="4"/>
        <v>0</v>
      </c>
      <c r="D74" s="145">
        <f t="shared" si="5"/>
        <v>0</v>
      </c>
      <c r="E74" s="115">
        <v>0</v>
      </c>
      <c r="F74" s="115">
        <v>0</v>
      </c>
      <c r="G74" s="115">
        <v>0</v>
      </c>
      <c r="H74" s="115">
        <v>0</v>
      </c>
      <c r="I74" s="115">
        <v>0</v>
      </c>
      <c r="J74" s="115">
        <v>0</v>
      </c>
      <c r="K74" s="115">
        <v>0</v>
      </c>
      <c r="L74" s="115">
        <v>0</v>
      </c>
      <c r="M74" s="115">
        <v>0</v>
      </c>
      <c r="N74" s="115">
        <v>0</v>
      </c>
      <c r="O74" s="115">
        <v>0</v>
      </c>
      <c r="P74" s="115">
        <v>0</v>
      </c>
    </row>
    <row r="75" spans="1:16" ht="15.75">
      <c r="A75" s="154">
        <v>40</v>
      </c>
      <c r="B75" s="159" t="s">
        <v>233</v>
      </c>
      <c r="C75" s="144">
        <f t="shared" si="4"/>
        <v>21</v>
      </c>
      <c r="D75" s="145">
        <f t="shared" si="5"/>
        <v>20</v>
      </c>
      <c r="E75" s="115">
        <v>21</v>
      </c>
      <c r="F75" s="115">
        <v>20</v>
      </c>
      <c r="G75" s="115">
        <v>0</v>
      </c>
      <c r="H75" s="115">
        <v>0</v>
      </c>
      <c r="I75" s="115">
        <v>0</v>
      </c>
      <c r="J75" s="115">
        <v>0</v>
      </c>
      <c r="K75" s="115">
        <v>0</v>
      </c>
      <c r="L75" s="115">
        <v>0</v>
      </c>
      <c r="M75" s="115">
        <v>21</v>
      </c>
      <c r="N75" s="115">
        <v>20</v>
      </c>
      <c r="O75" s="115">
        <v>62167</v>
      </c>
      <c r="P75" s="115">
        <v>15667</v>
      </c>
    </row>
    <row r="76" spans="1:16" ht="15.75">
      <c r="A76" s="154">
        <v>41</v>
      </c>
      <c r="B76" s="159" t="s">
        <v>234</v>
      </c>
      <c r="C76" s="144">
        <f t="shared" si="4"/>
        <v>0</v>
      </c>
      <c r="D76" s="145">
        <f t="shared" si="5"/>
        <v>0</v>
      </c>
      <c r="E76" s="115">
        <v>0</v>
      </c>
      <c r="F76" s="115">
        <v>0</v>
      </c>
      <c r="G76" s="115">
        <v>0</v>
      </c>
      <c r="H76" s="115">
        <v>0</v>
      </c>
      <c r="I76" s="115">
        <v>0</v>
      </c>
      <c r="J76" s="115">
        <v>0</v>
      </c>
      <c r="K76" s="115">
        <v>0</v>
      </c>
      <c r="L76" s="115">
        <v>0</v>
      </c>
      <c r="M76" s="115">
        <v>0</v>
      </c>
      <c r="N76" s="115">
        <v>0</v>
      </c>
      <c r="O76" s="115">
        <v>0</v>
      </c>
      <c r="P76" s="115">
        <v>0</v>
      </c>
    </row>
    <row r="77" spans="1:16" ht="15.75">
      <c r="A77" s="154">
        <v>42</v>
      </c>
      <c r="B77" s="159" t="s">
        <v>235</v>
      </c>
      <c r="C77" s="144">
        <f t="shared" si="4"/>
        <v>0</v>
      </c>
      <c r="D77" s="145">
        <f t="shared" si="5"/>
        <v>0</v>
      </c>
      <c r="E77" s="115">
        <v>0</v>
      </c>
      <c r="F77" s="115">
        <v>0</v>
      </c>
      <c r="G77" s="115">
        <v>0</v>
      </c>
      <c r="H77" s="115">
        <v>0</v>
      </c>
      <c r="I77" s="115">
        <v>0</v>
      </c>
      <c r="J77" s="115">
        <v>0</v>
      </c>
      <c r="K77" s="115">
        <v>0</v>
      </c>
      <c r="L77" s="115">
        <v>0</v>
      </c>
      <c r="M77" s="115">
        <v>0</v>
      </c>
      <c r="N77" s="115">
        <v>0</v>
      </c>
      <c r="O77" s="115">
        <v>0</v>
      </c>
      <c r="P77" s="115">
        <v>0</v>
      </c>
    </row>
    <row r="78" spans="1:16" ht="15.75">
      <c r="A78" s="154">
        <v>43</v>
      </c>
      <c r="B78" s="159" t="s">
        <v>236</v>
      </c>
      <c r="C78" s="144">
        <f t="shared" si="4"/>
        <v>0</v>
      </c>
      <c r="D78" s="145">
        <f t="shared" si="5"/>
        <v>0</v>
      </c>
      <c r="E78" s="115">
        <v>0</v>
      </c>
      <c r="F78" s="115">
        <v>0</v>
      </c>
      <c r="G78" s="115">
        <v>0</v>
      </c>
      <c r="H78" s="115">
        <v>0</v>
      </c>
      <c r="I78" s="115">
        <v>0</v>
      </c>
      <c r="J78" s="115">
        <v>0</v>
      </c>
      <c r="K78" s="115">
        <v>0</v>
      </c>
      <c r="L78" s="115">
        <v>0</v>
      </c>
      <c r="M78" s="115">
        <v>0</v>
      </c>
      <c r="N78" s="115">
        <v>0</v>
      </c>
      <c r="O78" s="115">
        <v>0</v>
      </c>
      <c r="P78" s="115">
        <v>0</v>
      </c>
    </row>
    <row r="79" spans="1:16" ht="15.75">
      <c r="A79" s="154">
        <v>44</v>
      </c>
      <c r="B79" s="159" t="s">
        <v>237</v>
      </c>
      <c r="C79" s="144">
        <f t="shared" si="4"/>
        <v>0</v>
      </c>
      <c r="D79" s="145">
        <f t="shared" si="5"/>
        <v>0</v>
      </c>
      <c r="E79" s="115">
        <v>0</v>
      </c>
      <c r="F79" s="115">
        <v>0</v>
      </c>
      <c r="G79" s="115">
        <v>0</v>
      </c>
      <c r="H79" s="115">
        <v>0</v>
      </c>
      <c r="I79" s="115">
        <v>0</v>
      </c>
      <c r="J79" s="115">
        <v>0</v>
      </c>
      <c r="K79" s="115">
        <v>0</v>
      </c>
      <c r="L79" s="115">
        <v>0</v>
      </c>
      <c r="M79" s="115">
        <v>0</v>
      </c>
      <c r="N79" s="115">
        <v>0</v>
      </c>
      <c r="O79" s="115">
        <v>0</v>
      </c>
      <c r="P79" s="115">
        <v>0</v>
      </c>
    </row>
    <row r="80" spans="1:16" s="117" customFormat="1" ht="15.75">
      <c r="A80" s="154">
        <v>45</v>
      </c>
      <c r="B80" s="160" t="s">
        <v>243</v>
      </c>
      <c r="C80" s="144">
        <f t="shared" si="4"/>
        <v>0</v>
      </c>
      <c r="D80" s="145">
        <f t="shared" si="5"/>
        <v>0</v>
      </c>
      <c r="E80" s="123">
        <v>0</v>
      </c>
      <c r="F80" s="123">
        <v>0</v>
      </c>
      <c r="G80" s="123">
        <v>0</v>
      </c>
      <c r="H80" s="123">
        <v>0</v>
      </c>
      <c r="I80" s="123">
        <v>0</v>
      </c>
      <c r="J80" s="123">
        <v>0</v>
      </c>
      <c r="K80" s="123">
        <v>0</v>
      </c>
      <c r="L80" s="123">
        <v>0</v>
      </c>
      <c r="M80" s="123">
        <v>0</v>
      </c>
      <c r="N80" s="123">
        <v>0</v>
      </c>
      <c r="O80" s="123">
        <v>0</v>
      </c>
      <c r="P80" s="123">
        <v>0</v>
      </c>
    </row>
    <row r="81" spans="1:16" s="117" customFormat="1" ht="15.75">
      <c r="A81" s="154">
        <v>46</v>
      </c>
      <c r="B81" s="160" t="s">
        <v>244</v>
      </c>
      <c r="C81" s="144">
        <f t="shared" si="4"/>
        <v>0</v>
      </c>
      <c r="D81" s="145">
        <f t="shared" si="5"/>
        <v>0</v>
      </c>
      <c r="E81" s="123">
        <v>0</v>
      </c>
      <c r="F81" s="123">
        <v>0</v>
      </c>
      <c r="G81" s="123">
        <v>0</v>
      </c>
      <c r="H81" s="123">
        <v>0</v>
      </c>
      <c r="I81" s="123">
        <v>0</v>
      </c>
      <c r="J81" s="123">
        <v>0</v>
      </c>
      <c r="K81" s="123">
        <v>0</v>
      </c>
      <c r="L81" s="123">
        <v>0</v>
      </c>
      <c r="M81" s="123">
        <v>0</v>
      </c>
      <c r="N81" s="123">
        <v>0</v>
      </c>
      <c r="O81" s="123">
        <v>0</v>
      </c>
      <c r="P81" s="123">
        <v>0</v>
      </c>
    </row>
    <row r="82" spans="1:16" s="117" customFormat="1" ht="15.75">
      <c r="A82" s="154">
        <v>47</v>
      </c>
      <c r="B82" s="160" t="s">
        <v>245</v>
      </c>
      <c r="C82" s="144">
        <f t="shared" si="4"/>
        <v>0</v>
      </c>
      <c r="D82" s="145">
        <f t="shared" si="5"/>
        <v>0</v>
      </c>
      <c r="E82" s="123">
        <v>0</v>
      </c>
      <c r="F82" s="123">
        <v>0</v>
      </c>
      <c r="G82" s="123">
        <v>0</v>
      </c>
      <c r="H82" s="123">
        <v>0</v>
      </c>
      <c r="I82" s="123">
        <v>0</v>
      </c>
      <c r="J82" s="123">
        <v>0</v>
      </c>
      <c r="K82" s="123">
        <v>0</v>
      </c>
      <c r="L82" s="123">
        <v>0</v>
      </c>
      <c r="M82" s="123">
        <v>0</v>
      </c>
      <c r="N82" s="123">
        <v>0</v>
      </c>
      <c r="O82" s="123">
        <v>0</v>
      </c>
      <c r="P82" s="123">
        <v>0</v>
      </c>
    </row>
    <row r="83" spans="1:16" s="117" customFormat="1" ht="15.75">
      <c r="A83" s="154">
        <v>48</v>
      </c>
      <c r="B83" s="160" t="s">
        <v>246</v>
      </c>
      <c r="C83" s="144">
        <f t="shared" si="4"/>
        <v>0</v>
      </c>
      <c r="D83" s="145">
        <f t="shared" si="5"/>
        <v>0</v>
      </c>
      <c r="E83" s="123">
        <v>0</v>
      </c>
      <c r="F83" s="123">
        <v>0</v>
      </c>
      <c r="G83" s="123">
        <v>0</v>
      </c>
      <c r="H83" s="123">
        <v>0</v>
      </c>
      <c r="I83" s="123">
        <v>0</v>
      </c>
      <c r="J83" s="123">
        <v>0</v>
      </c>
      <c r="K83" s="123">
        <v>0</v>
      </c>
      <c r="L83" s="123">
        <v>0</v>
      </c>
      <c r="M83" s="123">
        <v>0</v>
      </c>
      <c r="N83" s="123">
        <v>0</v>
      </c>
      <c r="O83" s="123">
        <v>0</v>
      </c>
      <c r="P83" s="123">
        <v>0</v>
      </c>
    </row>
    <row r="84" spans="1:16" s="117" customFormat="1" ht="15.75">
      <c r="A84" s="154">
        <v>49</v>
      </c>
      <c r="B84" s="160" t="s">
        <v>247</v>
      </c>
      <c r="C84" s="144">
        <f t="shared" si="4"/>
        <v>0</v>
      </c>
      <c r="D84" s="145">
        <f t="shared" si="5"/>
        <v>0</v>
      </c>
      <c r="E84" s="123">
        <v>0</v>
      </c>
      <c r="F84" s="123">
        <v>0</v>
      </c>
      <c r="G84" s="123">
        <v>0</v>
      </c>
      <c r="H84" s="123">
        <v>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3">
        <v>0</v>
      </c>
      <c r="O84" s="123">
        <v>0</v>
      </c>
      <c r="P84" s="123">
        <v>0</v>
      </c>
    </row>
    <row r="85" spans="1:16" s="117" customFormat="1" ht="15.75">
      <c r="A85" s="154">
        <v>50</v>
      </c>
      <c r="B85" s="160" t="s">
        <v>248</v>
      </c>
      <c r="C85" s="144">
        <f t="shared" si="4"/>
        <v>1</v>
      </c>
      <c r="D85" s="145">
        <f t="shared" si="5"/>
        <v>1</v>
      </c>
      <c r="E85" s="123">
        <v>1</v>
      </c>
      <c r="F85" s="123">
        <v>1</v>
      </c>
      <c r="G85" s="123">
        <v>0</v>
      </c>
      <c r="H85" s="123">
        <v>0</v>
      </c>
      <c r="I85" s="123">
        <v>0</v>
      </c>
      <c r="J85" s="123">
        <v>0</v>
      </c>
      <c r="K85" s="123">
        <v>1</v>
      </c>
      <c r="L85" s="123">
        <v>1</v>
      </c>
      <c r="M85" s="123">
        <v>0</v>
      </c>
      <c r="N85" s="123">
        <v>0</v>
      </c>
      <c r="O85" s="123">
        <v>120000</v>
      </c>
      <c r="P85" s="123">
        <v>120000</v>
      </c>
    </row>
    <row r="86" spans="1:16" s="117" customFormat="1" ht="15.75">
      <c r="A86" s="154">
        <v>51</v>
      </c>
      <c r="B86" s="161" t="s">
        <v>249</v>
      </c>
      <c r="C86" s="144">
        <f t="shared" si="4"/>
        <v>0</v>
      </c>
      <c r="D86" s="145">
        <f t="shared" si="5"/>
        <v>0</v>
      </c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</row>
    <row r="87" spans="1:16" s="117" customFormat="1" ht="15.75">
      <c r="A87" s="154">
        <v>52</v>
      </c>
      <c r="B87" s="161" t="s">
        <v>250</v>
      </c>
      <c r="C87" s="144">
        <f t="shared" si="4"/>
        <v>0</v>
      </c>
      <c r="D87" s="145">
        <f t="shared" si="5"/>
        <v>0</v>
      </c>
      <c r="E87" s="123">
        <v>0</v>
      </c>
      <c r="F87" s="123">
        <v>0</v>
      </c>
      <c r="G87" s="123">
        <v>0</v>
      </c>
      <c r="H87" s="123">
        <v>0</v>
      </c>
      <c r="I87" s="123">
        <v>0</v>
      </c>
      <c r="J87" s="123">
        <v>0</v>
      </c>
      <c r="K87" s="123">
        <v>0</v>
      </c>
      <c r="L87" s="123">
        <v>0</v>
      </c>
      <c r="M87" s="123">
        <v>0</v>
      </c>
      <c r="N87" s="123">
        <v>0</v>
      </c>
      <c r="O87" s="123">
        <v>0</v>
      </c>
      <c r="P87" s="123">
        <v>0</v>
      </c>
    </row>
    <row r="88" spans="1:16" s="117" customFormat="1" ht="15.75">
      <c r="A88" s="154">
        <v>53</v>
      </c>
      <c r="B88" s="161" t="s">
        <v>251</v>
      </c>
      <c r="C88" s="144">
        <f t="shared" si="4"/>
        <v>0</v>
      </c>
      <c r="D88" s="145">
        <f t="shared" si="5"/>
        <v>0</v>
      </c>
      <c r="E88" s="123">
        <v>0</v>
      </c>
      <c r="F88" s="123">
        <v>0</v>
      </c>
      <c r="G88" s="123">
        <v>0</v>
      </c>
      <c r="H88" s="123">
        <v>0</v>
      </c>
      <c r="I88" s="123">
        <v>0</v>
      </c>
      <c r="J88" s="123">
        <v>0</v>
      </c>
      <c r="K88" s="123">
        <v>0</v>
      </c>
      <c r="L88" s="123">
        <v>0</v>
      </c>
      <c r="M88" s="123">
        <v>0</v>
      </c>
      <c r="N88" s="123">
        <v>0</v>
      </c>
      <c r="O88" s="123">
        <v>0</v>
      </c>
      <c r="P88" s="123">
        <v>0</v>
      </c>
    </row>
    <row r="89" spans="1:16" s="117" customFormat="1" ht="15.75">
      <c r="A89" s="154">
        <v>54</v>
      </c>
      <c r="B89" s="161" t="s">
        <v>252</v>
      </c>
      <c r="C89" s="144">
        <f t="shared" si="4"/>
        <v>0</v>
      </c>
      <c r="D89" s="145">
        <f t="shared" si="5"/>
        <v>0</v>
      </c>
      <c r="E89" s="123">
        <v>0</v>
      </c>
      <c r="F89" s="123">
        <v>0</v>
      </c>
      <c r="G89" s="123">
        <v>0</v>
      </c>
      <c r="H89" s="123">
        <v>0</v>
      </c>
      <c r="I89" s="123">
        <v>0</v>
      </c>
      <c r="J89" s="123">
        <v>0</v>
      </c>
      <c r="K89" s="123">
        <v>0</v>
      </c>
      <c r="L89" s="123">
        <v>0</v>
      </c>
      <c r="M89" s="123">
        <v>0</v>
      </c>
      <c r="N89" s="123">
        <v>0</v>
      </c>
      <c r="O89" s="123">
        <v>0</v>
      </c>
      <c r="P89" s="123">
        <v>0</v>
      </c>
    </row>
    <row r="90" spans="1:16" s="117" customFormat="1" ht="15.75">
      <c r="A90" s="154">
        <v>55</v>
      </c>
      <c r="B90" s="161" t="s">
        <v>253</v>
      </c>
      <c r="C90" s="144">
        <f t="shared" si="4"/>
        <v>3</v>
      </c>
      <c r="D90" s="145">
        <f t="shared" si="5"/>
        <v>2</v>
      </c>
      <c r="E90" s="123">
        <v>1</v>
      </c>
      <c r="F90" s="123">
        <v>0</v>
      </c>
      <c r="G90" s="123">
        <v>2</v>
      </c>
      <c r="H90" s="123">
        <v>2</v>
      </c>
      <c r="I90" s="123">
        <v>0</v>
      </c>
      <c r="J90" s="123">
        <v>0</v>
      </c>
      <c r="K90" s="123">
        <v>2</v>
      </c>
      <c r="L90" s="123">
        <v>2</v>
      </c>
      <c r="M90" s="123">
        <v>1</v>
      </c>
      <c r="N90" s="123">
        <v>0</v>
      </c>
      <c r="O90" s="123">
        <v>516238</v>
      </c>
      <c r="P90" s="123">
        <v>516238</v>
      </c>
    </row>
    <row r="91" spans="1:16" s="117" customFormat="1" ht="15.75">
      <c r="A91" s="154">
        <v>56</v>
      </c>
      <c r="B91" s="161" t="s">
        <v>254</v>
      </c>
      <c r="C91" s="144">
        <f t="shared" si="4"/>
        <v>1</v>
      </c>
      <c r="D91" s="145">
        <f t="shared" si="5"/>
        <v>1</v>
      </c>
      <c r="E91" s="123">
        <v>1</v>
      </c>
      <c r="F91" s="123">
        <v>1</v>
      </c>
      <c r="G91" s="123">
        <v>0</v>
      </c>
      <c r="H91" s="123">
        <v>0</v>
      </c>
      <c r="I91" s="123">
        <v>0</v>
      </c>
      <c r="J91" s="123">
        <v>0</v>
      </c>
      <c r="K91" s="123">
        <v>0</v>
      </c>
      <c r="L91" s="123">
        <v>0</v>
      </c>
      <c r="M91" s="123">
        <f>1+0+0</f>
        <v>1</v>
      </c>
      <c r="N91" s="123">
        <v>1</v>
      </c>
      <c r="O91" s="123">
        <v>3625000</v>
      </c>
      <c r="P91" s="123">
        <v>3625000</v>
      </c>
    </row>
    <row r="92" spans="1:16" s="117" customFormat="1" ht="15.75">
      <c r="A92" s="154">
        <v>57</v>
      </c>
      <c r="B92" s="161" t="s">
        <v>255</v>
      </c>
      <c r="C92" s="144">
        <f t="shared" si="4"/>
        <v>1</v>
      </c>
      <c r="D92" s="145">
        <f t="shared" si="5"/>
        <v>1</v>
      </c>
      <c r="E92" s="123">
        <v>1</v>
      </c>
      <c r="F92" s="123">
        <v>1</v>
      </c>
      <c r="G92" s="123">
        <v>0</v>
      </c>
      <c r="H92" s="123">
        <v>0</v>
      </c>
      <c r="I92" s="123">
        <v>0</v>
      </c>
      <c r="J92" s="123">
        <v>0</v>
      </c>
      <c r="K92" s="123">
        <v>0</v>
      </c>
      <c r="L92" s="123">
        <v>0</v>
      </c>
      <c r="M92" s="123">
        <f>0+0+1</f>
        <v>1</v>
      </c>
      <c r="N92" s="123">
        <f>0+0+1</f>
        <v>1</v>
      </c>
      <c r="O92" s="123">
        <v>26862</v>
      </c>
      <c r="P92" s="123">
        <v>26862</v>
      </c>
    </row>
    <row r="93" spans="1:16" s="117" customFormat="1" ht="15.75">
      <c r="A93" s="154">
        <v>58</v>
      </c>
      <c r="B93" s="161" t="s">
        <v>256</v>
      </c>
      <c r="C93" s="144">
        <f t="shared" si="4"/>
        <v>0</v>
      </c>
      <c r="D93" s="145">
        <f t="shared" si="5"/>
        <v>0</v>
      </c>
      <c r="E93" s="123">
        <v>0</v>
      </c>
      <c r="F93" s="123">
        <v>0</v>
      </c>
      <c r="G93" s="123">
        <v>0</v>
      </c>
      <c r="H93" s="123">
        <v>0</v>
      </c>
      <c r="I93" s="123">
        <v>0</v>
      </c>
      <c r="J93" s="123">
        <v>0</v>
      </c>
      <c r="K93" s="123">
        <v>0</v>
      </c>
      <c r="L93" s="123">
        <v>0</v>
      </c>
      <c r="M93" s="123">
        <v>0</v>
      </c>
      <c r="N93" s="123">
        <v>0</v>
      </c>
      <c r="O93" s="123">
        <v>0</v>
      </c>
      <c r="P93" s="123">
        <v>0</v>
      </c>
    </row>
    <row r="94" spans="1:16" s="117" customFormat="1" ht="15.75">
      <c r="A94" s="154">
        <v>59</v>
      </c>
      <c r="B94" s="161" t="s">
        <v>257</v>
      </c>
      <c r="C94" s="144">
        <f t="shared" si="4"/>
        <v>0</v>
      </c>
      <c r="D94" s="145">
        <f t="shared" si="5"/>
        <v>0</v>
      </c>
      <c r="E94" s="123">
        <v>0</v>
      </c>
      <c r="F94" s="123">
        <v>0</v>
      </c>
      <c r="G94" s="123">
        <v>0</v>
      </c>
      <c r="H94" s="123">
        <v>0</v>
      </c>
      <c r="I94" s="123">
        <v>0</v>
      </c>
      <c r="J94" s="123">
        <v>0</v>
      </c>
      <c r="K94" s="123">
        <v>0</v>
      </c>
      <c r="L94" s="123">
        <v>0</v>
      </c>
      <c r="M94" s="123">
        <v>0</v>
      </c>
      <c r="N94" s="123">
        <v>0</v>
      </c>
      <c r="O94" s="123">
        <v>0</v>
      </c>
      <c r="P94" s="123">
        <v>0</v>
      </c>
    </row>
    <row r="95" spans="1:16" s="129" customFormat="1" ht="15.75">
      <c r="A95" s="154">
        <v>60</v>
      </c>
      <c r="B95" s="161" t="s">
        <v>258</v>
      </c>
      <c r="C95" s="144">
        <f t="shared" si="4"/>
        <v>0</v>
      </c>
      <c r="D95" s="145">
        <f t="shared" si="5"/>
        <v>0</v>
      </c>
      <c r="E95" s="123">
        <v>0</v>
      </c>
      <c r="F95" s="123">
        <v>0</v>
      </c>
      <c r="G95" s="123">
        <v>0</v>
      </c>
      <c r="H95" s="123">
        <v>0</v>
      </c>
      <c r="I95" s="123">
        <v>0</v>
      </c>
      <c r="J95" s="123">
        <v>0</v>
      </c>
      <c r="K95" s="123">
        <v>0</v>
      </c>
      <c r="L95" s="123">
        <v>0</v>
      </c>
      <c r="M95" s="123">
        <v>0</v>
      </c>
      <c r="N95" s="123">
        <v>0</v>
      </c>
      <c r="O95" s="123">
        <v>0</v>
      </c>
      <c r="P95" s="123">
        <v>0</v>
      </c>
    </row>
    <row r="96" spans="1:16" s="129" customFormat="1" ht="15.75">
      <c r="A96" s="154">
        <v>61</v>
      </c>
      <c r="B96" s="161" t="s">
        <v>259</v>
      </c>
      <c r="C96" s="144">
        <f t="shared" si="4"/>
        <v>0</v>
      </c>
      <c r="D96" s="145">
        <f t="shared" si="5"/>
        <v>0</v>
      </c>
      <c r="E96" s="123">
        <v>0</v>
      </c>
      <c r="F96" s="123">
        <v>0</v>
      </c>
      <c r="G96" s="123">
        <v>0</v>
      </c>
      <c r="H96" s="123">
        <v>0</v>
      </c>
      <c r="I96" s="123">
        <v>0</v>
      </c>
      <c r="J96" s="123">
        <v>0</v>
      </c>
      <c r="K96" s="123">
        <v>0</v>
      </c>
      <c r="L96" s="123">
        <v>0</v>
      </c>
      <c r="M96" s="123">
        <v>0</v>
      </c>
      <c r="N96" s="123">
        <v>0</v>
      </c>
      <c r="O96" s="123">
        <v>0</v>
      </c>
      <c r="P96" s="123">
        <v>0</v>
      </c>
    </row>
    <row r="97" spans="1:16" s="117" customFormat="1" ht="21" customHeight="1">
      <c r="A97" s="154">
        <v>62</v>
      </c>
      <c r="B97" s="161" t="s">
        <v>260</v>
      </c>
      <c r="C97" s="144">
        <f t="shared" si="4"/>
        <v>0</v>
      </c>
      <c r="D97" s="145">
        <f t="shared" si="5"/>
        <v>0</v>
      </c>
      <c r="E97" s="123">
        <v>0</v>
      </c>
      <c r="F97" s="123">
        <v>0</v>
      </c>
      <c r="G97" s="123">
        <v>0</v>
      </c>
      <c r="H97" s="123">
        <v>0</v>
      </c>
      <c r="I97" s="123">
        <v>0</v>
      </c>
      <c r="J97" s="123">
        <v>0</v>
      </c>
      <c r="K97" s="123">
        <v>0</v>
      </c>
      <c r="L97" s="123">
        <v>0</v>
      </c>
      <c r="M97" s="123">
        <v>0</v>
      </c>
      <c r="N97" s="123">
        <v>0</v>
      </c>
      <c r="O97" s="123">
        <v>0</v>
      </c>
      <c r="P97" s="123">
        <v>0</v>
      </c>
    </row>
    <row r="98" spans="1:16" s="117" customFormat="1" ht="15.75">
      <c r="A98" s="154">
        <v>63</v>
      </c>
      <c r="B98" s="161" t="s">
        <v>261</v>
      </c>
      <c r="C98" s="144">
        <f t="shared" si="4"/>
        <v>0</v>
      </c>
      <c r="D98" s="145">
        <f t="shared" si="5"/>
        <v>0</v>
      </c>
      <c r="E98" s="123">
        <v>0</v>
      </c>
      <c r="F98" s="123">
        <v>0</v>
      </c>
      <c r="G98" s="123">
        <v>0</v>
      </c>
      <c r="H98" s="123">
        <v>0</v>
      </c>
      <c r="I98" s="123">
        <v>0</v>
      </c>
      <c r="J98" s="123">
        <v>0</v>
      </c>
      <c r="K98" s="123">
        <v>0</v>
      </c>
      <c r="L98" s="123">
        <v>0</v>
      </c>
      <c r="M98" s="123">
        <v>0</v>
      </c>
      <c r="N98" s="123">
        <v>0</v>
      </c>
      <c r="O98" s="123">
        <v>0</v>
      </c>
      <c r="P98" s="123">
        <v>0</v>
      </c>
    </row>
    <row r="100" ht="12.75">
      <c r="H100" t="s">
        <v>300</v>
      </c>
    </row>
    <row r="101" spans="1:19" s="210" customFormat="1" ht="12.75">
      <c r="A101" s="47"/>
      <c r="B101" s="47" t="s">
        <v>264</v>
      </c>
      <c r="C101" s="47" t="s">
        <v>286</v>
      </c>
      <c r="D101" s="47"/>
      <c r="E101" s="47"/>
      <c r="F101" s="47"/>
      <c r="G101" s="47"/>
      <c r="H101" s="47"/>
      <c r="I101" s="47"/>
      <c r="J101" s="47"/>
      <c r="K101" s="212"/>
      <c r="L101" s="47"/>
      <c r="M101" s="47"/>
      <c r="N101" s="47"/>
      <c r="O101" s="47"/>
      <c r="P101" s="47"/>
      <c r="Q101" s="213"/>
      <c r="R101" s="213"/>
      <c r="S101" s="213"/>
    </row>
    <row r="102" spans="1:19" s="211" customFormat="1" ht="12.75">
      <c r="A102" s="47"/>
      <c r="B102" s="210" t="s">
        <v>288</v>
      </c>
      <c r="C102" s="47" t="s">
        <v>294</v>
      </c>
      <c r="F102" s="47"/>
      <c r="G102" s="47"/>
      <c r="H102" s="47"/>
      <c r="I102" s="47"/>
      <c r="J102" s="47"/>
      <c r="K102" s="212"/>
      <c r="L102" s="47"/>
      <c r="M102" s="47"/>
      <c r="N102" s="47"/>
      <c r="O102" s="47"/>
      <c r="P102" s="47"/>
      <c r="Q102" s="214"/>
      <c r="R102" s="214"/>
      <c r="S102" s="214"/>
    </row>
    <row r="103" spans="1:16" s="211" customFormat="1" ht="12.75">
      <c r="A103" s="47"/>
      <c r="B103" s="47" t="s">
        <v>293</v>
      </c>
      <c r="C103" s="47" t="s">
        <v>296</v>
      </c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</row>
    <row r="104" spans="1:19" s="211" customFormat="1" ht="16.5" customHeight="1">
      <c r="A104" s="47"/>
      <c r="B104" s="210" t="s">
        <v>289</v>
      </c>
      <c r="C104" s="47" t="s">
        <v>287</v>
      </c>
      <c r="F104" s="47"/>
      <c r="G104" s="47"/>
      <c r="H104" s="47"/>
      <c r="I104" s="47"/>
      <c r="J104" s="47"/>
      <c r="K104" s="212"/>
      <c r="L104" s="47"/>
      <c r="M104" s="47"/>
      <c r="N104" s="47"/>
      <c r="O104" s="47"/>
      <c r="P104" s="47"/>
      <c r="Q104" s="214"/>
      <c r="R104" s="214"/>
      <c r="S104" s="214"/>
    </row>
  </sheetData>
  <sheetProtection/>
  <mergeCells count="16">
    <mergeCell ref="A3:P3"/>
    <mergeCell ref="A14:B14"/>
    <mergeCell ref="I10:J10"/>
    <mergeCell ref="K10:L10"/>
    <mergeCell ref="C8:N8"/>
    <mergeCell ref="A13:B13"/>
    <mergeCell ref="C9:C11"/>
    <mergeCell ref="D9:D11"/>
    <mergeCell ref="O8:P10"/>
    <mergeCell ref="A12:B12"/>
    <mergeCell ref="M10:N10"/>
    <mergeCell ref="A8:B11"/>
    <mergeCell ref="E10:F10"/>
    <mergeCell ref="G10:H10"/>
    <mergeCell ref="E9:H9"/>
    <mergeCell ref="I9:N9"/>
  </mergeCells>
  <printOptions/>
  <pageMargins left="0.75" right="0.5" top="1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33"/>
  <sheetViews>
    <sheetView zoomScalePageLayoutView="0" workbookViewId="0" topLeftCell="A19">
      <selection activeCell="A36" sqref="A36:B36"/>
    </sheetView>
  </sheetViews>
  <sheetFormatPr defaultColWidth="9.140625" defaultRowHeight="12.75"/>
  <cols>
    <col min="1" max="1" width="3.28125" style="3" customWidth="1"/>
    <col min="2" max="2" width="17.57421875" style="32" customWidth="1"/>
    <col min="3" max="3" width="8.421875" style="3" customWidth="1"/>
    <col min="4" max="4" width="7.57421875" style="3" customWidth="1"/>
    <col min="5" max="5" width="9.28125" style="3" customWidth="1"/>
    <col min="6" max="6" width="7.140625" style="2" customWidth="1"/>
    <col min="7" max="7" width="6.7109375" style="2" customWidth="1"/>
    <col min="8" max="8" width="7.7109375" style="2" customWidth="1"/>
    <col min="9" max="9" width="7.00390625" style="3" customWidth="1"/>
    <col min="10" max="10" width="6.421875" style="3" customWidth="1"/>
    <col min="11" max="11" width="8.7109375" style="3" customWidth="1"/>
    <col min="12" max="12" width="7.8515625" style="3" customWidth="1"/>
    <col min="13" max="13" width="8.421875" style="3" customWidth="1"/>
    <col min="14" max="14" width="6.8515625" style="2" customWidth="1"/>
    <col min="15" max="15" width="6.7109375" style="2" customWidth="1"/>
    <col min="16" max="16" width="6.28125" style="2" customWidth="1"/>
    <col min="17" max="17" width="8.00390625" style="72" customWidth="1"/>
    <col min="18" max="18" width="6.28125" style="72" customWidth="1"/>
    <col min="19" max="16384" width="9.140625" style="6" customWidth="1"/>
  </cols>
  <sheetData>
    <row r="1" spans="1:18" ht="19.5" customHeight="1">
      <c r="A1" s="78" t="s">
        <v>7</v>
      </c>
      <c r="B1" s="152"/>
      <c r="C1" s="78"/>
      <c r="D1" s="78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63" s="24" customFormat="1" ht="18.75">
      <c r="A2" s="311" t="s">
        <v>159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</row>
    <row r="3" spans="1:63" s="24" customFormat="1" ht="18.75">
      <c r="A3" s="348" t="s">
        <v>158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</row>
    <row r="4" spans="1:63" s="24" customFormat="1" ht="21.75" customHeight="1">
      <c r="A4" s="311" t="s">
        <v>169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</row>
    <row r="5" spans="1:18" ht="15.75">
      <c r="A5" s="25"/>
      <c r="B5" s="25"/>
      <c r="C5" s="61"/>
      <c r="D5" s="6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5.75" customHeight="1">
      <c r="A6" s="4"/>
      <c r="B6" s="4"/>
      <c r="C6" s="62"/>
      <c r="D6" s="62"/>
      <c r="E6" s="31"/>
      <c r="F6" s="31"/>
      <c r="G6" s="31"/>
      <c r="H6" s="31"/>
      <c r="I6" s="31"/>
      <c r="J6" s="31"/>
      <c r="K6" s="31"/>
      <c r="L6" s="31"/>
      <c r="N6" s="31"/>
      <c r="O6" s="31"/>
      <c r="P6" s="66" t="s">
        <v>45</v>
      </c>
      <c r="Q6" s="149"/>
      <c r="R6" s="31"/>
    </row>
    <row r="7" spans="1:18" ht="26.25" customHeight="1">
      <c r="A7" s="329"/>
      <c r="B7" s="330"/>
      <c r="C7" s="329" t="s">
        <v>153</v>
      </c>
      <c r="D7" s="352"/>
      <c r="E7" s="352"/>
      <c r="F7" s="352"/>
      <c r="G7" s="352"/>
      <c r="H7" s="352"/>
      <c r="I7" s="352"/>
      <c r="J7" s="330"/>
      <c r="K7" s="349" t="s">
        <v>154</v>
      </c>
      <c r="L7" s="350"/>
      <c r="M7" s="350"/>
      <c r="N7" s="350"/>
      <c r="O7" s="350"/>
      <c r="P7" s="350"/>
      <c r="Q7" s="350"/>
      <c r="R7" s="351"/>
    </row>
    <row r="8" spans="1:18" ht="12.75" customHeight="1">
      <c r="A8" s="331"/>
      <c r="B8" s="332"/>
      <c r="C8" s="320" t="s">
        <v>36</v>
      </c>
      <c r="D8" s="320"/>
      <c r="E8" s="320"/>
      <c r="F8" s="341" t="s">
        <v>37</v>
      </c>
      <c r="G8" s="341"/>
      <c r="H8" s="341"/>
      <c r="I8" s="342"/>
      <c r="J8" s="315" t="s">
        <v>8</v>
      </c>
      <c r="K8" s="337" t="s">
        <v>39</v>
      </c>
      <c r="L8" s="341"/>
      <c r="M8" s="342"/>
      <c r="N8" s="337" t="s">
        <v>37</v>
      </c>
      <c r="O8" s="341"/>
      <c r="P8" s="341"/>
      <c r="Q8" s="342"/>
      <c r="R8" s="315" t="s">
        <v>8</v>
      </c>
    </row>
    <row r="9" spans="1:18" ht="12.75" customHeight="1">
      <c r="A9" s="331"/>
      <c r="B9" s="332"/>
      <c r="C9" s="320"/>
      <c r="D9" s="320"/>
      <c r="E9" s="320"/>
      <c r="F9" s="346"/>
      <c r="G9" s="346"/>
      <c r="H9" s="346"/>
      <c r="I9" s="347"/>
      <c r="J9" s="316"/>
      <c r="K9" s="338"/>
      <c r="L9" s="343"/>
      <c r="M9" s="344"/>
      <c r="N9" s="339"/>
      <c r="O9" s="346"/>
      <c r="P9" s="346"/>
      <c r="Q9" s="347"/>
      <c r="R9" s="316"/>
    </row>
    <row r="10" spans="1:18" ht="12.75" customHeight="1">
      <c r="A10" s="331"/>
      <c r="B10" s="332"/>
      <c r="C10" s="320"/>
      <c r="D10" s="320"/>
      <c r="E10" s="320"/>
      <c r="F10" s="341" t="s">
        <v>9</v>
      </c>
      <c r="G10" s="335" t="s">
        <v>44</v>
      </c>
      <c r="H10" s="340"/>
      <c r="I10" s="336"/>
      <c r="J10" s="316"/>
      <c r="K10" s="338"/>
      <c r="L10" s="343"/>
      <c r="M10" s="344"/>
      <c r="N10" s="337" t="s">
        <v>9</v>
      </c>
      <c r="O10" s="335" t="s">
        <v>44</v>
      </c>
      <c r="P10" s="340"/>
      <c r="Q10" s="336"/>
      <c r="R10" s="316"/>
    </row>
    <row r="11" spans="1:18" ht="31.5" customHeight="1">
      <c r="A11" s="331"/>
      <c r="B11" s="332"/>
      <c r="C11" s="320" t="s">
        <v>9</v>
      </c>
      <c r="D11" s="320" t="s">
        <v>44</v>
      </c>
      <c r="E11" s="320"/>
      <c r="F11" s="343"/>
      <c r="G11" s="335" t="s">
        <v>99</v>
      </c>
      <c r="H11" s="336"/>
      <c r="I11" s="315" t="s">
        <v>100</v>
      </c>
      <c r="J11" s="316"/>
      <c r="K11" s="320" t="s">
        <v>9</v>
      </c>
      <c r="L11" s="320" t="s">
        <v>44</v>
      </c>
      <c r="M11" s="320"/>
      <c r="N11" s="338"/>
      <c r="O11" s="335" t="s">
        <v>99</v>
      </c>
      <c r="P11" s="336"/>
      <c r="Q11" s="315" t="s">
        <v>100</v>
      </c>
      <c r="R11" s="316"/>
    </row>
    <row r="12" spans="1:18" ht="102.75" customHeight="1">
      <c r="A12" s="333"/>
      <c r="B12" s="334"/>
      <c r="C12" s="320"/>
      <c r="D12" s="103" t="s">
        <v>155</v>
      </c>
      <c r="E12" s="103" t="s">
        <v>156</v>
      </c>
      <c r="F12" s="346"/>
      <c r="G12" s="60" t="s">
        <v>9</v>
      </c>
      <c r="H12" s="60" t="s">
        <v>38</v>
      </c>
      <c r="I12" s="317"/>
      <c r="J12" s="317"/>
      <c r="K12" s="320"/>
      <c r="L12" s="103" t="s">
        <v>155</v>
      </c>
      <c r="M12" s="103" t="s">
        <v>156</v>
      </c>
      <c r="N12" s="339"/>
      <c r="O12" s="60" t="s">
        <v>9</v>
      </c>
      <c r="P12" s="60" t="s">
        <v>38</v>
      </c>
      <c r="Q12" s="317"/>
      <c r="R12" s="317"/>
    </row>
    <row r="13" spans="1:18" ht="12.75">
      <c r="A13" s="320" t="s">
        <v>40</v>
      </c>
      <c r="B13" s="320"/>
      <c r="C13" s="68">
        <v>1</v>
      </c>
      <c r="D13" s="68">
        <v>2</v>
      </c>
      <c r="E13" s="68">
        <v>3</v>
      </c>
      <c r="F13" s="68">
        <v>4</v>
      </c>
      <c r="G13" s="68">
        <v>5</v>
      </c>
      <c r="H13" s="68">
        <v>6</v>
      </c>
      <c r="I13" s="68">
        <v>7</v>
      </c>
      <c r="J13" s="68">
        <v>8</v>
      </c>
      <c r="K13" s="68">
        <v>9</v>
      </c>
      <c r="L13" s="68">
        <v>10</v>
      </c>
      <c r="M13" s="68">
        <v>11</v>
      </c>
      <c r="N13" s="68">
        <v>12</v>
      </c>
      <c r="O13" s="68">
        <v>13</v>
      </c>
      <c r="P13" s="68">
        <v>14</v>
      </c>
      <c r="Q13" s="68">
        <v>15</v>
      </c>
      <c r="R13" s="69">
        <v>16</v>
      </c>
    </row>
    <row r="14" spans="1:18" ht="32.25" customHeight="1">
      <c r="A14" s="345" t="s">
        <v>97</v>
      </c>
      <c r="B14" s="324"/>
      <c r="C14" s="176">
        <f aca="true" t="shared" si="0" ref="C14:R14">C15+C36</f>
        <v>492793</v>
      </c>
      <c r="D14" s="176">
        <f t="shared" si="0"/>
        <v>20813</v>
      </c>
      <c r="E14" s="176">
        <f t="shared" si="0"/>
        <v>471980</v>
      </c>
      <c r="F14" s="176">
        <f t="shared" si="0"/>
        <v>2924</v>
      </c>
      <c r="G14" s="176">
        <f t="shared" si="0"/>
        <v>1352</v>
      </c>
      <c r="H14" s="176">
        <f t="shared" si="0"/>
        <v>296</v>
      </c>
      <c r="I14" s="176">
        <f t="shared" si="0"/>
        <v>1304</v>
      </c>
      <c r="J14" s="176">
        <f t="shared" si="0"/>
        <v>1202</v>
      </c>
      <c r="K14" s="176">
        <f t="shared" si="0"/>
        <v>258627</v>
      </c>
      <c r="L14" s="176">
        <f t="shared" si="0"/>
        <v>18023</v>
      </c>
      <c r="M14" s="176">
        <f t="shared" si="0"/>
        <v>240604</v>
      </c>
      <c r="N14" s="176">
        <f t="shared" si="0"/>
        <v>4151</v>
      </c>
      <c r="O14" s="176">
        <f t="shared" si="0"/>
        <v>2621</v>
      </c>
      <c r="P14" s="176">
        <f t="shared" si="0"/>
        <v>479</v>
      </c>
      <c r="Q14" s="176">
        <f t="shared" si="0"/>
        <v>1530</v>
      </c>
      <c r="R14" s="176">
        <f t="shared" si="0"/>
        <v>2998</v>
      </c>
    </row>
    <row r="15" spans="1:18" ht="30.75" customHeight="1">
      <c r="A15" s="324" t="s">
        <v>87</v>
      </c>
      <c r="B15" s="325"/>
      <c r="C15" s="177">
        <f aca="true" t="shared" si="1" ref="C15:R15">SUM(C16:C35)</f>
        <v>400</v>
      </c>
      <c r="D15" s="177">
        <f t="shared" si="1"/>
        <v>383</v>
      </c>
      <c r="E15" s="177">
        <f t="shared" si="1"/>
        <v>17</v>
      </c>
      <c r="F15" s="177">
        <f t="shared" si="1"/>
        <v>17</v>
      </c>
      <c r="G15" s="177">
        <f t="shared" si="1"/>
        <v>11</v>
      </c>
      <c r="H15" s="177">
        <f t="shared" si="1"/>
        <v>4</v>
      </c>
      <c r="I15" s="177">
        <f t="shared" si="1"/>
        <v>6</v>
      </c>
      <c r="J15" s="177">
        <f t="shared" si="1"/>
        <v>10</v>
      </c>
      <c r="K15" s="177">
        <f t="shared" si="1"/>
        <v>1407</v>
      </c>
      <c r="L15" s="177">
        <f t="shared" si="1"/>
        <v>1265</v>
      </c>
      <c r="M15" s="177">
        <f t="shared" si="1"/>
        <v>142</v>
      </c>
      <c r="N15" s="177">
        <f t="shared" si="1"/>
        <v>114</v>
      </c>
      <c r="O15" s="177">
        <f t="shared" si="1"/>
        <v>86</v>
      </c>
      <c r="P15" s="177">
        <f t="shared" si="1"/>
        <v>16</v>
      </c>
      <c r="Q15" s="177">
        <f t="shared" si="1"/>
        <v>28</v>
      </c>
      <c r="R15" s="177">
        <f t="shared" si="1"/>
        <v>47</v>
      </c>
    </row>
    <row r="16" spans="1:18" ht="12.75">
      <c r="A16" s="178">
        <v>1</v>
      </c>
      <c r="B16" s="297" t="s">
        <v>239</v>
      </c>
      <c r="C16" s="179">
        <f aca="true" t="shared" si="2" ref="C16:C30">D16+E16</f>
        <v>20</v>
      </c>
      <c r="D16" s="180">
        <v>20</v>
      </c>
      <c r="E16" s="180">
        <v>0</v>
      </c>
      <c r="F16" s="181">
        <f aca="true" t="shared" si="3" ref="F16:F30">G16+I16</f>
        <v>5</v>
      </c>
      <c r="G16" s="182">
        <v>5</v>
      </c>
      <c r="H16" s="183">
        <v>0</v>
      </c>
      <c r="I16" s="183">
        <v>0</v>
      </c>
      <c r="J16" s="183">
        <v>0</v>
      </c>
      <c r="K16" s="181">
        <f aca="true" t="shared" si="4" ref="K16:K30">L16+M16</f>
        <v>47</v>
      </c>
      <c r="L16" s="183">
        <v>42</v>
      </c>
      <c r="M16" s="182">
        <v>5</v>
      </c>
      <c r="N16" s="181">
        <f aca="true" t="shared" si="5" ref="N16:N30">O16+Q16</f>
        <v>24</v>
      </c>
      <c r="O16" s="180">
        <v>19</v>
      </c>
      <c r="P16" s="183">
        <v>0</v>
      </c>
      <c r="Q16" s="182">
        <v>5</v>
      </c>
      <c r="R16" s="182">
        <v>0</v>
      </c>
    </row>
    <row r="17" spans="1:18" ht="12.75">
      <c r="A17" s="178">
        <v>2</v>
      </c>
      <c r="B17" s="297" t="s">
        <v>202</v>
      </c>
      <c r="C17" s="179">
        <f t="shared" si="2"/>
        <v>28</v>
      </c>
      <c r="D17" s="184">
        <v>28</v>
      </c>
      <c r="E17" s="180">
        <v>0</v>
      </c>
      <c r="F17" s="215" t="s">
        <v>290</v>
      </c>
      <c r="G17" s="185" t="s">
        <v>290</v>
      </c>
      <c r="H17" s="185" t="s">
        <v>290</v>
      </c>
      <c r="I17" s="185" t="s">
        <v>290</v>
      </c>
      <c r="J17" s="185" t="s">
        <v>290</v>
      </c>
      <c r="K17" s="181">
        <f t="shared" si="4"/>
        <v>124</v>
      </c>
      <c r="L17" s="183">
        <v>124</v>
      </c>
      <c r="M17" s="182">
        <v>0</v>
      </c>
      <c r="N17" s="181">
        <f t="shared" si="5"/>
        <v>0</v>
      </c>
      <c r="O17" s="180">
        <v>0</v>
      </c>
      <c r="P17" s="183">
        <v>0</v>
      </c>
      <c r="Q17" s="182">
        <v>0</v>
      </c>
      <c r="R17" s="182">
        <v>0</v>
      </c>
    </row>
    <row r="18" spans="1:18" ht="25.5">
      <c r="A18" s="178">
        <v>3</v>
      </c>
      <c r="B18" s="297" t="s">
        <v>203</v>
      </c>
      <c r="C18" s="179"/>
      <c r="D18" s="184"/>
      <c r="E18" s="180"/>
      <c r="F18" s="181"/>
      <c r="G18" s="182"/>
      <c r="H18" s="183"/>
      <c r="I18" s="183"/>
      <c r="J18" s="183"/>
      <c r="K18" s="181"/>
      <c r="L18" s="183"/>
      <c r="M18" s="182"/>
      <c r="N18" s="181"/>
      <c r="O18" s="180"/>
      <c r="P18" s="183"/>
      <c r="Q18" s="182"/>
      <c r="R18" s="182"/>
    </row>
    <row r="19" spans="1:18" ht="25.5">
      <c r="A19" s="178">
        <v>4</v>
      </c>
      <c r="B19" s="297" t="s">
        <v>204</v>
      </c>
      <c r="C19" s="179">
        <f t="shared" si="2"/>
        <v>30</v>
      </c>
      <c r="D19" s="184">
        <v>30</v>
      </c>
      <c r="E19" s="180">
        <v>0</v>
      </c>
      <c r="F19" s="181">
        <f t="shared" si="3"/>
        <v>0</v>
      </c>
      <c r="G19" s="182">
        <v>0</v>
      </c>
      <c r="H19" s="183">
        <v>0</v>
      </c>
      <c r="I19" s="183">
        <v>0</v>
      </c>
      <c r="J19" s="183">
        <v>0</v>
      </c>
      <c r="K19" s="181">
        <f t="shared" si="4"/>
        <v>0</v>
      </c>
      <c r="L19" s="183">
        <v>0</v>
      </c>
      <c r="M19" s="182">
        <v>0</v>
      </c>
      <c r="N19" s="181">
        <f t="shared" si="5"/>
        <v>0</v>
      </c>
      <c r="O19" s="180">
        <v>0</v>
      </c>
      <c r="P19" s="183">
        <v>0</v>
      </c>
      <c r="Q19" s="182">
        <v>0</v>
      </c>
      <c r="R19" s="182">
        <v>0</v>
      </c>
    </row>
    <row r="20" spans="1:18" ht="25.5">
      <c r="A20" s="178">
        <v>5</v>
      </c>
      <c r="B20" s="297" t="s">
        <v>205</v>
      </c>
      <c r="C20" s="179"/>
      <c r="D20" s="184"/>
      <c r="E20" s="180"/>
      <c r="F20" s="181"/>
      <c r="G20" s="182"/>
      <c r="H20" s="183"/>
      <c r="I20" s="183"/>
      <c r="J20" s="183"/>
      <c r="K20" s="181"/>
      <c r="L20" s="183"/>
      <c r="M20" s="182"/>
      <c r="N20" s="181"/>
      <c r="O20" s="180"/>
      <c r="P20" s="183"/>
      <c r="Q20" s="182"/>
      <c r="R20" s="182"/>
    </row>
    <row r="21" spans="1:18" ht="25.5">
      <c r="A21" s="178">
        <v>6</v>
      </c>
      <c r="B21" s="297" t="s">
        <v>206</v>
      </c>
      <c r="C21" s="179"/>
      <c r="D21" s="184"/>
      <c r="E21" s="180"/>
      <c r="F21" s="181"/>
      <c r="G21" s="182"/>
      <c r="H21" s="183"/>
      <c r="I21" s="183"/>
      <c r="J21" s="183"/>
      <c r="K21" s="181"/>
      <c r="L21" s="183"/>
      <c r="M21" s="182"/>
      <c r="N21" s="181"/>
      <c r="O21" s="180"/>
      <c r="P21" s="183"/>
      <c r="Q21" s="182"/>
      <c r="R21" s="182"/>
    </row>
    <row r="22" spans="1:18" ht="38.25">
      <c r="A22" s="178">
        <v>7</v>
      </c>
      <c r="B22" s="297" t="s">
        <v>207</v>
      </c>
      <c r="C22" s="179">
        <f t="shared" si="2"/>
        <v>31</v>
      </c>
      <c r="D22" s="184">
        <v>31</v>
      </c>
      <c r="E22" s="180">
        <v>0</v>
      </c>
      <c r="F22" s="181">
        <f t="shared" si="3"/>
        <v>0</v>
      </c>
      <c r="G22" s="182">
        <v>0</v>
      </c>
      <c r="H22" s="183">
        <v>0</v>
      </c>
      <c r="I22" s="183">
        <v>0</v>
      </c>
      <c r="J22" s="183">
        <v>0</v>
      </c>
      <c r="K22" s="181">
        <f t="shared" si="4"/>
        <v>0</v>
      </c>
      <c r="L22" s="183">
        <v>0</v>
      </c>
      <c r="M22" s="182">
        <v>0</v>
      </c>
      <c r="N22" s="181">
        <f t="shared" si="5"/>
        <v>0</v>
      </c>
      <c r="O22" s="180">
        <v>0</v>
      </c>
      <c r="P22" s="180">
        <v>0</v>
      </c>
      <c r="Q22" s="180">
        <v>0</v>
      </c>
      <c r="R22" s="180">
        <v>0</v>
      </c>
    </row>
    <row r="23" spans="1:18" ht="12.75">
      <c r="A23" s="178">
        <v>8</v>
      </c>
      <c r="B23" s="297" t="s">
        <v>208</v>
      </c>
      <c r="C23" s="179"/>
      <c r="D23" s="184"/>
      <c r="E23" s="180"/>
      <c r="F23" s="181"/>
      <c r="G23" s="182"/>
      <c r="H23" s="183"/>
      <c r="I23" s="183"/>
      <c r="J23" s="183"/>
      <c r="K23" s="181"/>
      <c r="L23" s="183"/>
      <c r="M23" s="182"/>
      <c r="N23" s="181"/>
      <c r="O23" s="180"/>
      <c r="P23" s="183"/>
      <c r="Q23" s="182"/>
      <c r="R23" s="182"/>
    </row>
    <row r="24" spans="1:18" ht="12.75">
      <c r="A24" s="178">
        <v>9</v>
      </c>
      <c r="B24" s="297" t="s">
        <v>209</v>
      </c>
      <c r="C24" s="179">
        <f t="shared" si="2"/>
        <v>8</v>
      </c>
      <c r="D24" s="184">
        <v>5</v>
      </c>
      <c r="E24" s="180">
        <v>3</v>
      </c>
      <c r="F24" s="181">
        <f t="shared" si="3"/>
        <v>0</v>
      </c>
      <c r="G24" s="183">
        <v>0</v>
      </c>
      <c r="H24" s="183">
        <v>0</v>
      </c>
      <c r="I24" s="183">
        <v>0</v>
      </c>
      <c r="J24" s="183">
        <v>0</v>
      </c>
      <c r="K24" s="181">
        <f t="shared" si="4"/>
        <v>120</v>
      </c>
      <c r="L24" s="183">
        <v>97</v>
      </c>
      <c r="M24" s="182">
        <v>23</v>
      </c>
      <c r="N24" s="181">
        <f t="shared" si="5"/>
        <v>44</v>
      </c>
      <c r="O24" s="180">
        <v>21</v>
      </c>
      <c r="P24" s="183">
        <v>7</v>
      </c>
      <c r="Q24" s="182">
        <v>23</v>
      </c>
      <c r="R24" s="182">
        <v>44</v>
      </c>
    </row>
    <row r="25" spans="1:18" ht="25.5">
      <c r="A25" s="178">
        <v>10</v>
      </c>
      <c r="B25" s="297" t="s">
        <v>210</v>
      </c>
      <c r="C25" s="179">
        <f t="shared" si="2"/>
        <v>33</v>
      </c>
      <c r="D25" s="184">
        <v>31</v>
      </c>
      <c r="E25" s="180">
        <v>2</v>
      </c>
      <c r="F25" s="181">
        <f>I25</f>
        <v>2</v>
      </c>
      <c r="G25" s="185" t="s">
        <v>290</v>
      </c>
      <c r="H25" s="185" t="s">
        <v>290</v>
      </c>
      <c r="I25" s="183">
        <v>2</v>
      </c>
      <c r="J25" s="185" t="s">
        <v>290</v>
      </c>
      <c r="K25" s="181">
        <f t="shared" si="4"/>
        <v>60</v>
      </c>
      <c r="L25" s="183">
        <v>50</v>
      </c>
      <c r="M25" s="182">
        <v>10</v>
      </c>
      <c r="N25" s="181">
        <f t="shared" si="5"/>
        <v>2</v>
      </c>
      <c r="O25" s="180">
        <v>2</v>
      </c>
      <c r="P25" s="183">
        <v>2</v>
      </c>
      <c r="Q25" s="182">
        <v>0</v>
      </c>
      <c r="R25" s="182">
        <v>2</v>
      </c>
    </row>
    <row r="26" spans="1:18" ht="12.75">
      <c r="A26" s="178">
        <v>11</v>
      </c>
      <c r="B26" s="297" t="s">
        <v>241</v>
      </c>
      <c r="C26" s="179">
        <f t="shared" si="2"/>
        <v>142</v>
      </c>
      <c r="D26" s="184">
        <v>142</v>
      </c>
      <c r="E26" s="180">
        <v>0</v>
      </c>
      <c r="F26" s="181">
        <f t="shared" si="3"/>
        <v>0</v>
      </c>
      <c r="G26" s="182">
        <v>0</v>
      </c>
      <c r="H26" s="183">
        <v>0</v>
      </c>
      <c r="I26" s="183">
        <v>0</v>
      </c>
      <c r="J26" s="183">
        <v>0</v>
      </c>
      <c r="K26" s="181">
        <f t="shared" si="4"/>
        <v>142</v>
      </c>
      <c r="L26" s="183">
        <v>142</v>
      </c>
      <c r="M26" s="182">
        <v>0</v>
      </c>
      <c r="N26" s="181">
        <f t="shared" si="5"/>
        <v>0</v>
      </c>
      <c r="O26" s="180">
        <v>0</v>
      </c>
      <c r="P26" s="183">
        <v>0</v>
      </c>
      <c r="Q26" s="182">
        <v>0</v>
      </c>
      <c r="R26" s="182">
        <v>0</v>
      </c>
    </row>
    <row r="27" spans="1:18" ht="12.75">
      <c r="A27" s="178">
        <v>12</v>
      </c>
      <c r="B27" s="297" t="s">
        <v>192</v>
      </c>
      <c r="C27" s="179">
        <f t="shared" si="2"/>
        <v>59</v>
      </c>
      <c r="D27" s="184">
        <v>59</v>
      </c>
      <c r="E27" s="180">
        <v>0</v>
      </c>
      <c r="F27" s="181">
        <f t="shared" si="3"/>
        <v>4</v>
      </c>
      <c r="G27" s="182">
        <v>4</v>
      </c>
      <c r="H27" s="183">
        <v>2</v>
      </c>
      <c r="I27" s="183">
        <v>0</v>
      </c>
      <c r="J27" s="183">
        <v>4</v>
      </c>
      <c r="K27" s="181">
        <f t="shared" si="4"/>
        <v>674</v>
      </c>
      <c r="L27" s="183">
        <v>674</v>
      </c>
      <c r="M27" s="182">
        <v>0</v>
      </c>
      <c r="N27" s="181">
        <f t="shared" si="5"/>
        <v>44</v>
      </c>
      <c r="O27" s="180">
        <v>44</v>
      </c>
      <c r="P27" s="183">
        <v>7</v>
      </c>
      <c r="Q27" s="182">
        <v>0</v>
      </c>
      <c r="R27" s="182">
        <v>1</v>
      </c>
    </row>
    <row r="28" spans="1:18" ht="25.5">
      <c r="A28" s="178">
        <v>13</v>
      </c>
      <c r="B28" s="297" t="s">
        <v>193</v>
      </c>
      <c r="C28" s="179"/>
      <c r="D28" s="184"/>
      <c r="E28" s="180"/>
      <c r="F28" s="181"/>
      <c r="G28" s="182"/>
      <c r="H28" s="183"/>
      <c r="I28" s="183"/>
      <c r="J28" s="183"/>
      <c r="K28" s="181"/>
      <c r="L28" s="183"/>
      <c r="M28" s="182"/>
      <c r="N28" s="181"/>
      <c r="O28" s="180"/>
      <c r="P28" s="183"/>
      <c r="Q28" s="182"/>
      <c r="R28" s="182"/>
    </row>
    <row r="29" spans="1:18" ht="25.5">
      <c r="A29" s="178">
        <v>14</v>
      </c>
      <c r="B29" s="297" t="s">
        <v>194</v>
      </c>
      <c r="C29" s="179"/>
      <c r="D29" s="184"/>
      <c r="E29" s="180"/>
      <c r="F29" s="181"/>
      <c r="G29" s="182"/>
      <c r="H29" s="183"/>
      <c r="I29" s="183"/>
      <c r="J29" s="183"/>
      <c r="K29" s="181"/>
      <c r="L29" s="183"/>
      <c r="M29" s="182"/>
      <c r="N29" s="181"/>
      <c r="O29" s="180"/>
      <c r="P29" s="183"/>
      <c r="Q29" s="182"/>
      <c r="R29" s="182"/>
    </row>
    <row r="30" spans="1:18" ht="25.5">
      <c r="A30" s="178">
        <v>15</v>
      </c>
      <c r="B30" s="297" t="s">
        <v>195</v>
      </c>
      <c r="C30" s="179">
        <f t="shared" si="2"/>
        <v>18</v>
      </c>
      <c r="D30" s="184">
        <v>18</v>
      </c>
      <c r="E30" s="180">
        <v>0</v>
      </c>
      <c r="F30" s="181">
        <f t="shared" si="3"/>
        <v>0</v>
      </c>
      <c r="G30" s="182">
        <v>0</v>
      </c>
      <c r="H30" s="183">
        <v>0</v>
      </c>
      <c r="I30" s="183">
        <v>0</v>
      </c>
      <c r="J30" s="183">
        <v>0</v>
      </c>
      <c r="K30" s="181">
        <f t="shared" si="4"/>
        <v>18</v>
      </c>
      <c r="L30" s="183">
        <v>18</v>
      </c>
      <c r="M30" s="182">
        <v>0</v>
      </c>
      <c r="N30" s="181">
        <f t="shared" si="5"/>
        <v>0</v>
      </c>
      <c r="O30" s="180">
        <v>0</v>
      </c>
      <c r="P30" s="183">
        <v>0</v>
      </c>
      <c r="Q30" s="182">
        <v>0</v>
      </c>
      <c r="R30" s="182">
        <v>0</v>
      </c>
    </row>
    <row r="31" spans="1:18" ht="12.75">
      <c r="A31" s="178">
        <v>16</v>
      </c>
      <c r="B31" s="297" t="s">
        <v>196</v>
      </c>
      <c r="C31" s="179"/>
      <c r="D31" s="184"/>
      <c r="E31" s="180"/>
      <c r="F31" s="181"/>
      <c r="G31" s="182"/>
      <c r="H31" s="183"/>
      <c r="I31" s="183"/>
      <c r="J31" s="183"/>
      <c r="K31" s="181"/>
      <c r="L31" s="183"/>
      <c r="M31" s="182"/>
      <c r="N31" s="181"/>
      <c r="O31" s="180"/>
      <c r="P31" s="183"/>
      <c r="Q31" s="182"/>
      <c r="R31" s="182"/>
    </row>
    <row r="32" spans="1:18" ht="12.75">
      <c r="A32" s="178">
        <v>17</v>
      </c>
      <c r="B32" s="297" t="s">
        <v>238</v>
      </c>
      <c r="C32" s="179">
        <v>6</v>
      </c>
      <c r="D32" s="197"/>
      <c r="E32" s="180">
        <v>6</v>
      </c>
      <c r="F32" s="181">
        <v>6</v>
      </c>
      <c r="G32" s="216">
        <v>2</v>
      </c>
      <c r="H32" s="183">
        <v>2</v>
      </c>
      <c r="I32" s="183">
        <v>4</v>
      </c>
      <c r="J32" s="183">
        <v>6</v>
      </c>
      <c r="K32" s="181">
        <v>66</v>
      </c>
      <c r="L32" s="183">
        <v>34</v>
      </c>
      <c r="M32" s="182">
        <v>32</v>
      </c>
      <c r="N32" s="186" t="s">
        <v>93</v>
      </c>
      <c r="O32" s="187" t="s">
        <v>93</v>
      </c>
      <c r="P32" s="188" t="s">
        <v>93</v>
      </c>
      <c r="Q32" s="188" t="s">
        <v>93</v>
      </c>
      <c r="R32" s="188" t="s">
        <v>93</v>
      </c>
    </row>
    <row r="33" spans="1:18" ht="25.5">
      <c r="A33" s="178">
        <v>18</v>
      </c>
      <c r="B33" s="298" t="s">
        <v>197</v>
      </c>
      <c r="C33" s="179"/>
      <c r="D33" s="180"/>
      <c r="E33" s="180"/>
      <c r="F33" s="181"/>
      <c r="G33" s="182"/>
      <c r="H33" s="183"/>
      <c r="I33" s="183"/>
      <c r="J33" s="183"/>
      <c r="K33" s="181"/>
      <c r="L33" s="183"/>
      <c r="M33" s="182"/>
      <c r="N33" s="181"/>
      <c r="O33" s="180"/>
      <c r="P33" s="183"/>
      <c r="Q33" s="182"/>
      <c r="R33" s="182"/>
    </row>
    <row r="34" spans="1:18" ht="12.75">
      <c r="A34" s="178">
        <v>19</v>
      </c>
      <c r="B34" s="298" t="s">
        <v>198</v>
      </c>
      <c r="C34" s="179">
        <f>D34+E34</f>
        <v>25</v>
      </c>
      <c r="D34" s="184">
        <v>19</v>
      </c>
      <c r="E34" s="180">
        <v>6</v>
      </c>
      <c r="F34" s="181">
        <f>G34+I34</f>
        <v>0</v>
      </c>
      <c r="G34" s="182">
        <v>0</v>
      </c>
      <c r="H34" s="183">
        <v>0</v>
      </c>
      <c r="I34" s="183">
        <v>0</v>
      </c>
      <c r="J34" s="183">
        <v>0</v>
      </c>
      <c r="K34" s="181">
        <f>L34+M34</f>
        <v>156</v>
      </c>
      <c r="L34" s="183">
        <v>84</v>
      </c>
      <c r="M34" s="182">
        <v>72</v>
      </c>
      <c r="N34" s="181">
        <f>O34+Q34</f>
        <v>0</v>
      </c>
      <c r="O34" s="180">
        <v>0</v>
      </c>
      <c r="P34" s="183">
        <v>0</v>
      </c>
      <c r="Q34" s="182">
        <v>0</v>
      </c>
      <c r="R34" s="182">
        <v>0</v>
      </c>
    </row>
    <row r="35" spans="1:18" ht="12.75">
      <c r="A35" s="178">
        <v>20</v>
      </c>
      <c r="B35" s="298" t="s">
        <v>199</v>
      </c>
      <c r="C35" s="179"/>
      <c r="D35" s="184"/>
      <c r="E35" s="180"/>
      <c r="F35" s="181"/>
      <c r="G35" s="182"/>
      <c r="H35" s="183"/>
      <c r="I35" s="183"/>
      <c r="J35" s="183"/>
      <c r="K35" s="181"/>
      <c r="L35" s="183"/>
      <c r="M35" s="182"/>
      <c r="N35" s="181"/>
      <c r="O35" s="180"/>
      <c r="P35" s="183"/>
      <c r="Q35" s="182"/>
      <c r="R35" s="182"/>
    </row>
    <row r="36" spans="1:19" s="10" customFormat="1" ht="21" customHeight="1">
      <c r="A36" s="324" t="s">
        <v>98</v>
      </c>
      <c r="B36" s="325"/>
      <c r="C36" s="177">
        <f aca="true" t="shared" si="6" ref="C36:R36">SUM(C37:C99)</f>
        <v>492393</v>
      </c>
      <c r="D36" s="177">
        <f t="shared" si="6"/>
        <v>20430</v>
      </c>
      <c r="E36" s="177">
        <f t="shared" si="6"/>
        <v>471963</v>
      </c>
      <c r="F36" s="177">
        <f t="shared" si="6"/>
        <v>2907</v>
      </c>
      <c r="G36" s="177">
        <f t="shared" si="6"/>
        <v>1341</v>
      </c>
      <c r="H36" s="177">
        <f t="shared" si="6"/>
        <v>292</v>
      </c>
      <c r="I36" s="177">
        <f t="shared" si="6"/>
        <v>1298</v>
      </c>
      <c r="J36" s="177">
        <f t="shared" si="6"/>
        <v>1192</v>
      </c>
      <c r="K36" s="177">
        <f t="shared" si="6"/>
        <v>257220</v>
      </c>
      <c r="L36" s="177">
        <f t="shared" si="6"/>
        <v>16758</v>
      </c>
      <c r="M36" s="177">
        <f t="shared" si="6"/>
        <v>240462</v>
      </c>
      <c r="N36" s="177">
        <f t="shared" si="6"/>
        <v>4037</v>
      </c>
      <c r="O36" s="177">
        <f t="shared" si="6"/>
        <v>2535</v>
      </c>
      <c r="P36" s="177">
        <f t="shared" si="6"/>
        <v>463</v>
      </c>
      <c r="Q36" s="177">
        <f t="shared" si="6"/>
        <v>1502</v>
      </c>
      <c r="R36" s="177">
        <f t="shared" si="6"/>
        <v>2951</v>
      </c>
      <c r="S36" s="9"/>
    </row>
    <row r="37" spans="1:18" ht="12.75">
      <c r="A37" s="189">
        <v>1</v>
      </c>
      <c r="B37" s="190" t="s">
        <v>175</v>
      </c>
      <c r="C37" s="179">
        <f>D37+E37</f>
        <v>5710</v>
      </c>
      <c r="D37" s="184">
        <v>697</v>
      </c>
      <c r="E37" s="191">
        <v>5013</v>
      </c>
      <c r="F37" s="181">
        <f>G37+I37</f>
        <v>9</v>
      </c>
      <c r="G37" s="192">
        <v>9</v>
      </c>
      <c r="H37" s="192">
        <v>1</v>
      </c>
      <c r="I37" s="192">
        <v>0</v>
      </c>
      <c r="J37" s="192">
        <v>0</v>
      </c>
      <c r="K37" s="181">
        <f>L37+M37</f>
        <v>1722</v>
      </c>
      <c r="L37" s="191">
        <v>251</v>
      </c>
      <c r="M37" s="191">
        <v>1471</v>
      </c>
      <c r="N37" s="181">
        <f>O37+Q37</f>
        <v>0</v>
      </c>
      <c r="O37" s="192">
        <v>0</v>
      </c>
      <c r="P37" s="192">
        <v>0</v>
      </c>
      <c r="Q37" s="192">
        <v>0</v>
      </c>
      <c r="R37" s="192">
        <v>0</v>
      </c>
    </row>
    <row r="38" spans="1:18" ht="12.75">
      <c r="A38" s="189">
        <v>2</v>
      </c>
      <c r="B38" s="190" t="s">
        <v>263</v>
      </c>
      <c r="C38" s="179">
        <f aca="true" t="shared" si="7" ref="C38:C54">D38+E38</f>
        <v>10673</v>
      </c>
      <c r="D38" s="184">
        <v>127</v>
      </c>
      <c r="E38" s="192">
        <v>10546</v>
      </c>
      <c r="F38" s="181">
        <f aca="true" t="shared" si="8" ref="F38:F54">G38+I38</f>
        <v>2</v>
      </c>
      <c r="G38" s="192">
        <v>1</v>
      </c>
      <c r="H38" s="192">
        <v>0</v>
      </c>
      <c r="I38" s="192">
        <v>1</v>
      </c>
      <c r="J38" s="193" t="s">
        <v>292</v>
      </c>
      <c r="K38" s="181">
        <f aca="true" t="shared" si="9" ref="K38:K54">L38+M38</f>
        <v>3098</v>
      </c>
      <c r="L38" s="192">
        <v>88</v>
      </c>
      <c r="M38" s="192">
        <v>3010</v>
      </c>
      <c r="N38" s="181">
        <f aca="true" t="shared" si="10" ref="N38:N54">O38+Q38</f>
        <v>1</v>
      </c>
      <c r="O38" s="192">
        <v>1</v>
      </c>
      <c r="P38" s="192"/>
      <c r="Q38" s="192"/>
      <c r="R38" s="192">
        <v>1</v>
      </c>
    </row>
    <row r="39" spans="1:18" ht="12.75">
      <c r="A39" s="189">
        <v>3</v>
      </c>
      <c r="B39" s="190" t="s">
        <v>176</v>
      </c>
      <c r="C39" s="179">
        <f t="shared" si="7"/>
        <v>264</v>
      </c>
      <c r="D39" s="184">
        <v>239</v>
      </c>
      <c r="E39" s="192">
        <v>25</v>
      </c>
      <c r="F39" s="181">
        <f t="shared" si="8"/>
        <v>213</v>
      </c>
      <c r="G39" s="192">
        <v>188</v>
      </c>
      <c r="H39" s="192">
        <v>5</v>
      </c>
      <c r="I39" s="192">
        <v>25</v>
      </c>
      <c r="J39" s="192">
        <v>2</v>
      </c>
      <c r="K39" s="181">
        <f t="shared" si="9"/>
        <v>173</v>
      </c>
      <c r="L39" s="191">
        <v>152</v>
      </c>
      <c r="M39" s="191">
        <v>21</v>
      </c>
      <c r="N39" s="181">
        <f t="shared" si="10"/>
        <v>29</v>
      </c>
      <c r="O39" s="192">
        <v>8</v>
      </c>
      <c r="P39" s="192">
        <v>6</v>
      </c>
      <c r="Q39" s="192">
        <v>21</v>
      </c>
      <c r="R39" s="192">
        <v>13</v>
      </c>
    </row>
    <row r="40" spans="1:18" ht="12.75">
      <c r="A40" s="189">
        <v>4</v>
      </c>
      <c r="B40" s="190" t="s">
        <v>177</v>
      </c>
      <c r="C40" s="179">
        <f t="shared" si="7"/>
        <v>895</v>
      </c>
      <c r="D40" s="184">
        <v>380</v>
      </c>
      <c r="E40" s="192">
        <v>515</v>
      </c>
      <c r="F40" s="181">
        <f t="shared" si="8"/>
        <v>95</v>
      </c>
      <c r="G40" s="192">
        <v>2</v>
      </c>
      <c r="H40" s="192">
        <v>1</v>
      </c>
      <c r="I40" s="192">
        <v>93</v>
      </c>
      <c r="J40" s="192">
        <v>2</v>
      </c>
      <c r="K40" s="181">
        <f t="shared" si="9"/>
        <v>209</v>
      </c>
      <c r="L40" s="192">
        <v>163</v>
      </c>
      <c r="M40" s="192">
        <v>46</v>
      </c>
      <c r="N40" s="181">
        <f>O40+Q40</f>
        <v>157</v>
      </c>
      <c r="O40" s="192">
        <v>140</v>
      </c>
      <c r="P40" s="192">
        <v>23</v>
      </c>
      <c r="Q40" s="192">
        <v>17</v>
      </c>
      <c r="R40" s="192">
        <v>78</v>
      </c>
    </row>
    <row r="41" spans="1:18" ht="12.75">
      <c r="A41" s="189">
        <v>5</v>
      </c>
      <c r="B41" s="190" t="s">
        <v>178</v>
      </c>
      <c r="C41" s="179">
        <f t="shared" si="7"/>
        <v>8165</v>
      </c>
      <c r="D41" s="184">
        <v>165</v>
      </c>
      <c r="E41" s="192">
        <v>8000</v>
      </c>
      <c r="F41" s="181">
        <f t="shared" si="8"/>
        <v>12</v>
      </c>
      <c r="G41" s="192">
        <v>12</v>
      </c>
      <c r="H41" s="192">
        <v>0</v>
      </c>
      <c r="I41" s="192">
        <v>0</v>
      </c>
      <c r="J41" s="193" t="s">
        <v>292</v>
      </c>
      <c r="K41" s="181">
        <f t="shared" si="9"/>
        <v>2074</v>
      </c>
      <c r="L41" s="192">
        <v>64</v>
      </c>
      <c r="M41" s="192">
        <v>2010</v>
      </c>
      <c r="N41" s="181">
        <f t="shared" si="10"/>
        <v>18</v>
      </c>
      <c r="O41" s="192">
        <v>18</v>
      </c>
      <c r="P41" s="192">
        <v>0</v>
      </c>
      <c r="Q41" s="192">
        <v>0</v>
      </c>
      <c r="R41" s="192">
        <v>18</v>
      </c>
    </row>
    <row r="42" spans="1:18" ht="12.75">
      <c r="A42" s="189">
        <v>6</v>
      </c>
      <c r="B42" s="190" t="s">
        <v>179</v>
      </c>
      <c r="C42" s="179">
        <f t="shared" si="7"/>
        <v>13245</v>
      </c>
      <c r="D42" s="184">
        <v>233</v>
      </c>
      <c r="E42" s="192">
        <v>13012</v>
      </c>
      <c r="F42" s="181">
        <f t="shared" si="8"/>
        <v>60</v>
      </c>
      <c r="G42" s="183">
        <v>21</v>
      </c>
      <c r="H42" s="192">
        <v>14</v>
      </c>
      <c r="I42" s="192">
        <v>39</v>
      </c>
      <c r="J42" s="192">
        <v>29</v>
      </c>
      <c r="K42" s="181">
        <f t="shared" si="9"/>
        <v>2898</v>
      </c>
      <c r="L42" s="192">
        <v>100</v>
      </c>
      <c r="M42" s="192">
        <v>2798</v>
      </c>
      <c r="N42" s="181">
        <f>Q42</f>
        <v>51</v>
      </c>
      <c r="O42" s="193" t="s">
        <v>292</v>
      </c>
      <c r="P42" s="193" t="s">
        <v>292</v>
      </c>
      <c r="Q42" s="192">
        <v>51</v>
      </c>
      <c r="R42" s="192">
        <v>44</v>
      </c>
    </row>
    <row r="43" spans="1:18" ht="12.75">
      <c r="A43" s="189">
        <v>7</v>
      </c>
      <c r="B43" s="190" t="s">
        <v>180</v>
      </c>
      <c r="C43" s="179">
        <f t="shared" si="7"/>
        <v>80</v>
      </c>
      <c r="D43" s="184">
        <v>53</v>
      </c>
      <c r="E43" s="192">
        <v>27</v>
      </c>
      <c r="F43" s="181">
        <f t="shared" si="8"/>
        <v>24</v>
      </c>
      <c r="G43" s="192">
        <v>8</v>
      </c>
      <c r="H43" s="192">
        <v>0</v>
      </c>
      <c r="I43" s="192">
        <v>16</v>
      </c>
      <c r="J43" s="192">
        <v>0</v>
      </c>
      <c r="K43" s="181">
        <f t="shared" si="9"/>
        <v>586</v>
      </c>
      <c r="L43" s="192">
        <v>519</v>
      </c>
      <c r="M43" s="192">
        <v>67</v>
      </c>
      <c r="N43" s="181">
        <f t="shared" si="10"/>
        <v>41</v>
      </c>
      <c r="O43" s="192">
        <v>25</v>
      </c>
      <c r="P43" s="192">
        <v>1</v>
      </c>
      <c r="Q43" s="192">
        <v>16</v>
      </c>
      <c r="R43" s="192">
        <v>25</v>
      </c>
    </row>
    <row r="44" spans="1:18" ht="12.75">
      <c r="A44" s="189">
        <v>8</v>
      </c>
      <c r="B44" s="190" t="s">
        <v>181</v>
      </c>
      <c r="C44" s="179">
        <f t="shared" si="7"/>
        <v>11464</v>
      </c>
      <c r="D44" s="184">
        <v>936</v>
      </c>
      <c r="E44" s="192">
        <v>10528</v>
      </c>
      <c r="F44" s="181">
        <f t="shared" si="8"/>
        <v>30</v>
      </c>
      <c r="G44" s="192">
        <v>19</v>
      </c>
      <c r="H44" s="192">
        <v>0</v>
      </c>
      <c r="I44" s="192">
        <v>11</v>
      </c>
      <c r="J44" s="192">
        <v>30</v>
      </c>
      <c r="K44" s="181">
        <f t="shared" si="9"/>
        <v>340</v>
      </c>
      <c r="L44" s="192">
        <v>340</v>
      </c>
      <c r="M44" s="192">
        <v>0</v>
      </c>
      <c r="N44" s="181">
        <f t="shared" si="10"/>
        <v>33</v>
      </c>
      <c r="O44" s="192">
        <v>33</v>
      </c>
      <c r="P44" s="192">
        <v>0</v>
      </c>
      <c r="Q44" s="192">
        <v>0</v>
      </c>
      <c r="R44" s="192">
        <v>33</v>
      </c>
    </row>
    <row r="45" spans="1:18" ht="12.75">
      <c r="A45" s="189">
        <v>9</v>
      </c>
      <c r="B45" s="190" t="s">
        <v>182</v>
      </c>
      <c r="C45" s="179">
        <f t="shared" si="7"/>
        <v>887</v>
      </c>
      <c r="D45" s="184">
        <v>100</v>
      </c>
      <c r="E45" s="192">
        <v>787</v>
      </c>
      <c r="F45" s="181">
        <f t="shared" si="8"/>
        <v>3</v>
      </c>
      <c r="G45" s="192">
        <v>3</v>
      </c>
      <c r="H45" s="192">
        <v>3</v>
      </c>
      <c r="I45" s="192">
        <v>0</v>
      </c>
      <c r="J45" s="192">
        <v>1</v>
      </c>
      <c r="K45" s="181">
        <f t="shared" si="9"/>
        <v>360</v>
      </c>
      <c r="L45" s="192">
        <v>299</v>
      </c>
      <c r="M45" s="192">
        <v>61</v>
      </c>
      <c r="N45" s="181">
        <f t="shared" si="10"/>
        <v>58</v>
      </c>
      <c r="O45" s="192">
        <v>53</v>
      </c>
      <c r="P45" s="192">
        <v>16</v>
      </c>
      <c r="Q45" s="192">
        <v>5</v>
      </c>
      <c r="R45" s="192">
        <v>9</v>
      </c>
    </row>
    <row r="46" spans="1:18" ht="12.75">
      <c r="A46" s="189">
        <v>10</v>
      </c>
      <c r="B46" s="190" t="s">
        <v>183</v>
      </c>
      <c r="C46" s="179">
        <f t="shared" si="7"/>
        <v>204</v>
      </c>
      <c r="D46" s="184">
        <v>156</v>
      </c>
      <c r="E46" s="192">
        <v>48</v>
      </c>
      <c r="F46" s="181">
        <f t="shared" si="8"/>
        <v>0</v>
      </c>
      <c r="G46" s="192">
        <v>0</v>
      </c>
      <c r="H46" s="192">
        <v>0</v>
      </c>
      <c r="I46" s="192">
        <v>0</v>
      </c>
      <c r="J46" s="192">
        <v>0</v>
      </c>
      <c r="K46" s="181">
        <f t="shared" si="9"/>
        <v>214</v>
      </c>
      <c r="L46" s="192">
        <v>127</v>
      </c>
      <c r="M46" s="192">
        <v>87</v>
      </c>
      <c r="N46" s="216" t="s">
        <v>292</v>
      </c>
      <c r="O46" s="192">
        <v>0</v>
      </c>
      <c r="P46" s="192">
        <v>0</v>
      </c>
      <c r="Q46" s="192">
        <v>0</v>
      </c>
      <c r="R46" s="193" t="s">
        <v>292</v>
      </c>
    </row>
    <row r="47" spans="1:18" ht="12.75">
      <c r="A47" s="189">
        <v>11</v>
      </c>
      <c r="B47" s="190" t="s">
        <v>184</v>
      </c>
      <c r="C47" s="179">
        <f t="shared" si="7"/>
        <v>3691</v>
      </c>
      <c r="D47" s="184">
        <v>552</v>
      </c>
      <c r="E47" s="192">
        <v>3139</v>
      </c>
      <c r="F47" s="181">
        <f t="shared" si="8"/>
        <v>21</v>
      </c>
      <c r="G47" s="192">
        <v>20</v>
      </c>
      <c r="H47" s="192">
        <v>0</v>
      </c>
      <c r="I47" s="192">
        <v>1</v>
      </c>
      <c r="J47" s="192">
        <v>20</v>
      </c>
      <c r="K47" s="181">
        <f t="shared" si="9"/>
        <v>5265</v>
      </c>
      <c r="L47" s="191">
        <v>234</v>
      </c>
      <c r="M47" s="191">
        <v>5031</v>
      </c>
      <c r="N47" s="181">
        <f>Q47</f>
        <v>9</v>
      </c>
      <c r="O47" s="193" t="s">
        <v>292</v>
      </c>
      <c r="P47" s="193" t="s">
        <v>292</v>
      </c>
      <c r="Q47" s="192">
        <v>9</v>
      </c>
      <c r="R47" s="192">
        <v>15</v>
      </c>
    </row>
    <row r="48" spans="1:18" ht="12.75">
      <c r="A48" s="189">
        <v>12</v>
      </c>
      <c r="B48" s="190" t="s">
        <v>185</v>
      </c>
      <c r="C48" s="179">
        <f t="shared" si="7"/>
        <v>969</v>
      </c>
      <c r="D48" s="184">
        <v>135</v>
      </c>
      <c r="E48" s="192">
        <v>834</v>
      </c>
      <c r="F48" s="181">
        <f t="shared" si="8"/>
        <v>7</v>
      </c>
      <c r="G48" s="192">
        <v>5</v>
      </c>
      <c r="H48" s="192">
        <v>5</v>
      </c>
      <c r="I48" s="192">
        <v>2</v>
      </c>
      <c r="J48" s="192">
        <v>4</v>
      </c>
      <c r="K48" s="181">
        <f t="shared" si="9"/>
        <v>280</v>
      </c>
      <c r="L48" s="191">
        <v>206</v>
      </c>
      <c r="M48" s="191">
        <v>74</v>
      </c>
      <c r="N48" s="194">
        <f t="shared" si="10"/>
        <v>8</v>
      </c>
      <c r="O48" s="192">
        <v>4</v>
      </c>
      <c r="P48" s="192">
        <v>4</v>
      </c>
      <c r="Q48" s="192">
        <v>4</v>
      </c>
      <c r="R48" s="193" t="s">
        <v>292</v>
      </c>
    </row>
    <row r="49" spans="1:18" ht="12.75">
      <c r="A49" s="189">
        <v>13</v>
      </c>
      <c r="B49" s="190" t="s">
        <v>186</v>
      </c>
      <c r="C49" s="179">
        <f t="shared" si="7"/>
        <v>5823</v>
      </c>
      <c r="D49" s="184">
        <v>185</v>
      </c>
      <c r="E49" s="192">
        <v>5638</v>
      </c>
      <c r="F49" s="181">
        <f t="shared" si="8"/>
        <v>47</v>
      </c>
      <c r="G49" s="192">
        <v>16</v>
      </c>
      <c r="H49" s="192">
        <v>0</v>
      </c>
      <c r="I49" s="192">
        <v>31</v>
      </c>
      <c r="J49" s="192">
        <v>21</v>
      </c>
      <c r="K49" s="181">
        <f t="shared" si="9"/>
        <v>5167</v>
      </c>
      <c r="L49" s="191">
        <v>148</v>
      </c>
      <c r="M49" s="191">
        <v>5019</v>
      </c>
      <c r="N49" s="194">
        <f t="shared" si="10"/>
        <v>38</v>
      </c>
      <c r="O49" s="192">
        <v>0</v>
      </c>
      <c r="P49" s="192">
        <v>0</v>
      </c>
      <c r="Q49" s="192">
        <v>38</v>
      </c>
      <c r="R49" s="193" t="s">
        <v>292</v>
      </c>
    </row>
    <row r="50" spans="1:18" ht="12.75">
      <c r="A50" s="189">
        <v>14</v>
      </c>
      <c r="B50" s="190" t="s">
        <v>187</v>
      </c>
      <c r="C50" s="179">
        <f t="shared" si="7"/>
        <v>1456</v>
      </c>
      <c r="D50" s="184">
        <v>421</v>
      </c>
      <c r="E50" s="192">
        <v>1035</v>
      </c>
      <c r="F50" s="181">
        <f t="shared" si="8"/>
        <v>16</v>
      </c>
      <c r="G50" s="307">
        <v>15</v>
      </c>
      <c r="H50" s="307">
        <v>1</v>
      </c>
      <c r="I50" s="192">
        <v>1</v>
      </c>
      <c r="J50" s="307">
        <v>16</v>
      </c>
      <c r="K50" s="181">
        <f t="shared" si="9"/>
        <v>311</v>
      </c>
      <c r="L50" s="191">
        <v>167</v>
      </c>
      <c r="M50" s="191">
        <v>144</v>
      </c>
      <c r="N50" s="181">
        <f t="shared" si="10"/>
        <v>0</v>
      </c>
      <c r="O50" s="192">
        <v>0</v>
      </c>
      <c r="P50" s="192">
        <v>0</v>
      </c>
      <c r="Q50" s="192">
        <v>0</v>
      </c>
      <c r="R50" s="192">
        <v>0</v>
      </c>
    </row>
    <row r="51" spans="1:18" ht="12.75">
      <c r="A51" s="189">
        <v>15</v>
      </c>
      <c r="B51" s="190" t="s">
        <v>188</v>
      </c>
      <c r="C51" s="179">
        <f t="shared" si="7"/>
        <v>18634</v>
      </c>
      <c r="D51" s="184">
        <v>60</v>
      </c>
      <c r="E51" s="192">
        <v>18574</v>
      </c>
      <c r="F51" s="183">
        <f t="shared" si="8"/>
        <v>23</v>
      </c>
      <c r="G51" s="192">
        <v>6</v>
      </c>
      <c r="H51" s="192">
        <v>1</v>
      </c>
      <c r="I51" s="192">
        <v>17</v>
      </c>
      <c r="J51" s="192">
        <v>17</v>
      </c>
      <c r="K51" s="181">
        <f t="shared" si="9"/>
        <v>12732</v>
      </c>
      <c r="L51" s="191">
        <v>25</v>
      </c>
      <c r="M51" s="191">
        <v>12707</v>
      </c>
      <c r="N51" s="194">
        <f t="shared" si="10"/>
        <v>3</v>
      </c>
      <c r="O51" s="192">
        <v>0</v>
      </c>
      <c r="P51" s="192">
        <v>0</v>
      </c>
      <c r="Q51" s="192">
        <v>3</v>
      </c>
      <c r="R51" s="193" t="s">
        <v>292</v>
      </c>
    </row>
    <row r="52" spans="1:18" ht="12.75">
      <c r="A52" s="189">
        <v>16</v>
      </c>
      <c r="B52" s="190" t="s">
        <v>189</v>
      </c>
      <c r="C52" s="179">
        <f t="shared" si="7"/>
        <v>69</v>
      </c>
      <c r="D52" s="184">
        <v>64</v>
      </c>
      <c r="E52" s="192">
        <v>5</v>
      </c>
      <c r="F52" s="181">
        <f t="shared" si="8"/>
        <v>41</v>
      </c>
      <c r="G52" s="192">
        <v>36</v>
      </c>
      <c r="H52" s="192">
        <v>4</v>
      </c>
      <c r="I52" s="192">
        <v>5</v>
      </c>
      <c r="J52" s="192">
        <v>4</v>
      </c>
      <c r="K52" s="181">
        <f t="shared" si="9"/>
        <v>64</v>
      </c>
      <c r="L52" s="192">
        <v>47</v>
      </c>
      <c r="M52" s="192">
        <v>17</v>
      </c>
      <c r="N52" s="181">
        <f>Q52</f>
        <v>1</v>
      </c>
      <c r="O52" s="193" t="s">
        <v>292</v>
      </c>
      <c r="P52" s="193" t="s">
        <v>292</v>
      </c>
      <c r="Q52" s="192">
        <v>1</v>
      </c>
      <c r="R52" s="192">
        <v>3</v>
      </c>
    </row>
    <row r="53" spans="1:18" ht="12.75">
      <c r="A53" s="189">
        <v>17</v>
      </c>
      <c r="B53" s="190" t="s">
        <v>190</v>
      </c>
      <c r="C53" s="179">
        <f t="shared" si="7"/>
        <v>3207</v>
      </c>
      <c r="D53" s="184">
        <v>194</v>
      </c>
      <c r="E53" s="192">
        <v>3013</v>
      </c>
      <c r="F53" s="181">
        <f t="shared" si="8"/>
        <v>16</v>
      </c>
      <c r="G53" s="192">
        <v>8</v>
      </c>
      <c r="H53" s="192">
        <v>3</v>
      </c>
      <c r="I53" s="192">
        <v>8</v>
      </c>
      <c r="J53" s="192">
        <v>15</v>
      </c>
      <c r="K53" s="181">
        <f t="shared" si="9"/>
        <v>208</v>
      </c>
      <c r="L53" s="192">
        <v>111</v>
      </c>
      <c r="M53" s="192">
        <v>97</v>
      </c>
      <c r="N53" s="181">
        <f t="shared" si="10"/>
        <v>63</v>
      </c>
      <c r="O53" s="192">
        <v>51</v>
      </c>
      <c r="P53" s="192"/>
      <c r="Q53" s="192">
        <v>12</v>
      </c>
      <c r="R53" s="192">
        <v>63</v>
      </c>
    </row>
    <row r="54" spans="1:18" ht="12.75">
      <c r="A54" s="189">
        <v>18</v>
      </c>
      <c r="B54" s="190" t="s">
        <v>191</v>
      </c>
      <c r="C54" s="179">
        <f t="shared" si="7"/>
        <v>1513</v>
      </c>
      <c r="D54" s="184">
        <v>163</v>
      </c>
      <c r="E54" s="192">
        <v>1350</v>
      </c>
      <c r="F54" s="181">
        <f t="shared" si="8"/>
        <v>7</v>
      </c>
      <c r="G54" s="192">
        <v>4</v>
      </c>
      <c r="H54" s="192">
        <v>2</v>
      </c>
      <c r="I54" s="192">
        <v>3</v>
      </c>
      <c r="J54" s="192">
        <v>3</v>
      </c>
      <c r="K54" s="181">
        <f t="shared" si="9"/>
        <v>210</v>
      </c>
      <c r="L54" s="192">
        <v>159</v>
      </c>
      <c r="M54" s="192">
        <v>51</v>
      </c>
      <c r="N54" s="181">
        <f t="shared" si="10"/>
        <v>18</v>
      </c>
      <c r="O54" s="192">
        <v>17</v>
      </c>
      <c r="P54" s="192"/>
      <c r="Q54" s="192">
        <v>1</v>
      </c>
      <c r="R54" s="192">
        <v>1</v>
      </c>
    </row>
    <row r="55" spans="1:18" ht="12.75">
      <c r="A55" s="189">
        <v>19</v>
      </c>
      <c r="B55" s="196" t="s">
        <v>211</v>
      </c>
      <c r="C55" s="179">
        <f>D55+E55</f>
        <v>20695</v>
      </c>
      <c r="D55" s="184">
        <v>524</v>
      </c>
      <c r="E55" s="184">
        <v>20171</v>
      </c>
      <c r="F55" s="181">
        <f>G55+I55</f>
        <v>29</v>
      </c>
      <c r="G55" s="184">
        <v>12</v>
      </c>
      <c r="H55" s="184">
        <v>3</v>
      </c>
      <c r="I55" s="184">
        <v>17</v>
      </c>
      <c r="J55" s="184">
        <v>18</v>
      </c>
      <c r="K55" s="181">
        <f>L55+M55</f>
        <v>14011</v>
      </c>
      <c r="L55" s="184">
        <v>344</v>
      </c>
      <c r="M55" s="184">
        <v>13667</v>
      </c>
      <c r="N55" s="216" t="s">
        <v>292</v>
      </c>
      <c r="O55" s="197" t="s">
        <v>292</v>
      </c>
      <c r="P55" s="197" t="s">
        <v>292</v>
      </c>
      <c r="Q55" s="184">
        <v>0</v>
      </c>
      <c r="R55" s="198" t="s">
        <v>292</v>
      </c>
    </row>
    <row r="56" spans="1:18" ht="12.75">
      <c r="A56" s="189">
        <v>20</v>
      </c>
      <c r="B56" s="196" t="s">
        <v>212</v>
      </c>
      <c r="C56" s="179">
        <f aca="true" t="shared" si="11" ref="C56:C71">D56+E56</f>
        <v>1519</v>
      </c>
      <c r="D56" s="184">
        <v>380</v>
      </c>
      <c r="E56" s="191">
        <v>1139</v>
      </c>
      <c r="F56" s="215" t="s">
        <v>290</v>
      </c>
      <c r="G56" s="199" t="s">
        <v>290</v>
      </c>
      <c r="H56" s="199" t="s">
        <v>290</v>
      </c>
      <c r="I56" s="199" t="s">
        <v>290</v>
      </c>
      <c r="J56" s="199" t="s">
        <v>290</v>
      </c>
      <c r="K56" s="181">
        <f aca="true" t="shared" si="12" ref="K56:K71">L56+M56</f>
        <v>69</v>
      </c>
      <c r="L56" s="191">
        <v>61</v>
      </c>
      <c r="M56" s="191">
        <v>8</v>
      </c>
      <c r="N56" s="216" t="s">
        <v>292</v>
      </c>
      <c r="O56" s="199" t="s">
        <v>290</v>
      </c>
      <c r="P56" s="199" t="s">
        <v>290</v>
      </c>
      <c r="Q56" s="199" t="s">
        <v>290</v>
      </c>
      <c r="R56" s="193" t="s">
        <v>292</v>
      </c>
    </row>
    <row r="57" spans="1:18" ht="12.75">
      <c r="A57" s="189">
        <v>21</v>
      </c>
      <c r="B57" s="196" t="s">
        <v>213</v>
      </c>
      <c r="C57" s="179">
        <f t="shared" si="11"/>
        <v>244</v>
      </c>
      <c r="D57" s="184">
        <v>76</v>
      </c>
      <c r="E57" s="191">
        <v>168</v>
      </c>
      <c r="F57" s="181">
        <f aca="true" t="shared" si="13" ref="F57:F71">G57+I57</f>
        <v>0</v>
      </c>
      <c r="G57" s="191">
        <v>0</v>
      </c>
      <c r="H57" s="191">
        <v>0</v>
      </c>
      <c r="I57" s="191">
        <v>0</v>
      </c>
      <c r="J57" s="191">
        <v>0</v>
      </c>
      <c r="K57" s="181">
        <f t="shared" si="12"/>
        <v>382</v>
      </c>
      <c r="L57" s="191">
        <v>152</v>
      </c>
      <c r="M57" s="191">
        <v>230</v>
      </c>
      <c r="N57" s="181">
        <f aca="true" t="shared" si="14" ref="N57:N71">O57+Q57</f>
        <v>4</v>
      </c>
      <c r="O57" s="192">
        <v>4</v>
      </c>
      <c r="P57" s="192">
        <v>0</v>
      </c>
      <c r="Q57" s="192">
        <v>0</v>
      </c>
      <c r="R57" s="192">
        <v>4</v>
      </c>
    </row>
    <row r="58" spans="1:18" ht="12.75">
      <c r="A58" s="189">
        <v>22</v>
      </c>
      <c r="B58" s="196" t="s">
        <v>214</v>
      </c>
      <c r="C58" s="179">
        <f t="shared" si="11"/>
        <v>1070</v>
      </c>
      <c r="D58" s="184">
        <v>15</v>
      </c>
      <c r="E58" s="191">
        <v>1055</v>
      </c>
      <c r="F58" s="181">
        <f t="shared" si="13"/>
        <v>2</v>
      </c>
      <c r="G58" s="191">
        <v>2</v>
      </c>
      <c r="H58" s="191">
        <v>2</v>
      </c>
      <c r="I58" s="191">
        <v>0</v>
      </c>
      <c r="J58" s="191">
        <v>1</v>
      </c>
      <c r="K58" s="181">
        <f t="shared" si="12"/>
        <v>593</v>
      </c>
      <c r="L58" s="191">
        <v>3</v>
      </c>
      <c r="M58" s="191">
        <v>590</v>
      </c>
      <c r="N58" s="181">
        <f t="shared" si="14"/>
        <v>0</v>
      </c>
      <c r="O58" s="192">
        <v>0</v>
      </c>
      <c r="P58" s="192">
        <v>0</v>
      </c>
      <c r="Q58" s="192">
        <v>0</v>
      </c>
      <c r="R58" s="192">
        <v>0</v>
      </c>
    </row>
    <row r="59" spans="1:18" ht="12.75">
      <c r="A59" s="189">
        <v>23</v>
      </c>
      <c r="B59" s="196" t="s">
        <v>215</v>
      </c>
      <c r="C59" s="179">
        <f t="shared" si="11"/>
        <v>30</v>
      </c>
      <c r="D59" s="184">
        <v>24</v>
      </c>
      <c r="E59" s="191">
        <v>6</v>
      </c>
      <c r="F59" s="181">
        <f t="shared" si="13"/>
        <v>17</v>
      </c>
      <c r="G59" s="191">
        <v>15</v>
      </c>
      <c r="H59" s="191">
        <v>15</v>
      </c>
      <c r="I59" s="191">
        <v>2</v>
      </c>
      <c r="J59" s="191">
        <v>14</v>
      </c>
      <c r="K59" s="181">
        <f t="shared" si="12"/>
        <v>155</v>
      </c>
      <c r="L59" s="191">
        <v>136</v>
      </c>
      <c r="M59" s="191">
        <v>19</v>
      </c>
      <c r="N59" s="181">
        <f t="shared" si="14"/>
        <v>13</v>
      </c>
      <c r="O59" s="192">
        <v>13</v>
      </c>
      <c r="P59" s="192">
        <v>11</v>
      </c>
      <c r="Q59" s="192">
        <v>0</v>
      </c>
      <c r="R59" s="192">
        <v>13</v>
      </c>
    </row>
    <row r="60" spans="1:18" ht="12.75">
      <c r="A60" s="195">
        <v>24</v>
      </c>
      <c r="B60" s="200" t="s">
        <v>216</v>
      </c>
      <c r="C60" s="179">
        <f>D60</f>
        <v>55</v>
      </c>
      <c r="D60" s="184">
        <v>55</v>
      </c>
      <c r="E60" s="199" t="s">
        <v>290</v>
      </c>
      <c r="F60" s="215" t="s">
        <v>290</v>
      </c>
      <c r="G60" s="191">
        <v>0</v>
      </c>
      <c r="H60" s="199" t="s">
        <v>290</v>
      </c>
      <c r="I60" s="191">
        <v>0</v>
      </c>
      <c r="J60" s="199" t="s">
        <v>290</v>
      </c>
      <c r="K60" s="181">
        <f t="shared" si="12"/>
        <v>224</v>
      </c>
      <c r="L60" s="192">
        <v>148</v>
      </c>
      <c r="M60" s="192">
        <v>76</v>
      </c>
      <c r="N60" s="181">
        <f t="shared" si="14"/>
        <v>142</v>
      </c>
      <c r="O60" s="192">
        <v>116</v>
      </c>
      <c r="P60" s="192">
        <v>13</v>
      </c>
      <c r="Q60" s="192">
        <v>26</v>
      </c>
      <c r="R60" s="192">
        <v>0</v>
      </c>
    </row>
    <row r="61" spans="1:18" ht="12.75">
      <c r="A61" s="189">
        <v>25</v>
      </c>
      <c r="B61" s="196" t="s">
        <v>217</v>
      </c>
      <c r="C61" s="179">
        <f t="shared" si="11"/>
        <v>10401</v>
      </c>
      <c r="D61" s="184">
        <v>116</v>
      </c>
      <c r="E61" s="184">
        <v>10285</v>
      </c>
      <c r="F61" s="181">
        <f t="shared" si="13"/>
        <v>15</v>
      </c>
      <c r="G61" s="191">
        <v>9</v>
      </c>
      <c r="H61" s="191">
        <v>1</v>
      </c>
      <c r="I61" s="191">
        <v>6</v>
      </c>
      <c r="J61" s="191">
        <v>8</v>
      </c>
      <c r="K61" s="181">
        <f t="shared" si="12"/>
        <v>657</v>
      </c>
      <c r="L61" s="191">
        <v>416</v>
      </c>
      <c r="M61" s="191">
        <v>241</v>
      </c>
      <c r="N61" s="181">
        <f t="shared" si="14"/>
        <v>39</v>
      </c>
      <c r="O61" s="192">
        <v>30</v>
      </c>
      <c r="P61" s="192">
        <v>16</v>
      </c>
      <c r="Q61" s="192">
        <v>9</v>
      </c>
      <c r="R61" s="192">
        <v>33</v>
      </c>
    </row>
    <row r="62" spans="1:18" ht="12.75">
      <c r="A62" s="189">
        <v>26</v>
      </c>
      <c r="B62" s="196" t="s">
        <v>218</v>
      </c>
      <c r="C62" s="179">
        <f t="shared" si="11"/>
        <v>23428</v>
      </c>
      <c r="D62" s="184">
        <v>202</v>
      </c>
      <c r="E62" s="184">
        <v>23226</v>
      </c>
      <c r="F62" s="181">
        <f>I62</f>
        <v>58</v>
      </c>
      <c r="G62" s="193" t="s">
        <v>292</v>
      </c>
      <c r="H62" s="193" t="s">
        <v>292</v>
      </c>
      <c r="I62" s="191">
        <v>58</v>
      </c>
      <c r="J62" s="191">
        <v>60</v>
      </c>
      <c r="K62" s="181">
        <f t="shared" si="12"/>
        <v>48980</v>
      </c>
      <c r="L62" s="184">
        <v>733</v>
      </c>
      <c r="M62" s="184">
        <v>48247</v>
      </c>
      <c r="N62" s="181">
        <f t="shared" si="14"/>
        <v>376</v>
      </c>
      <c r="O62" s="192">
        <v>67</v>
      </c>
      <c r="P62" s="192">
        <v>27</v>
      </c>
      <c r="Q62" s="192">
        <v>309</v>
      </c>
      <c r="R62" s="192">
        <v>376</v>
      </c>
    </row>
    <row r="63" spans="1:18" ht="12.75">
      <c r="A63" s="189">
        <v>27</v>
      </c>
      <c r="B63" s="196" t="s">
        <v>219</v>
      </c>
      <c r="C63" s="179">
        <f t="shared" si="11"/>
        <v>139</v>
      </c>
      <c r="D63" s="184">
        <v>42</v>
      </c>
      <c r="E63" s="191">
        <v>97</v>
      </c>
      <c r="F63" s="181">
        <f t="shared" si="13"/>
        <v>8</v>
      </c>
      <c r="G63" s="191">
        <v>7</v>
      </c>
      <c r="H63" s="191">
        <v>6</v>
      </c>
      <c r="I63" s="191">
        <v>1</v>
      </c>
      <c r="J63" s="191">
        <v>1</v>
      </c>
      <c r="K63" s="181">
        <f t="shared" si="12"/>
        <v>334</v>
      </c>
      <c r="L63" s="191">
        <v>233</v>
      </c>
      <c r="M63" s="191">
        <v>101</v>
      </c>
      <c r="N63" s="181">
        <f t="shared" si="14"/>
        <v>9</v>
      </c>
      <c r="O63" s="192">
        <v>6</v>
      </c>
      <c r="P63" s="192">
        <v>5</v>
      </c>
      <c r="Q63" s="192">
        <v>3</v>
      </c>
      <c r="R63" s="192">
        <v>5</v>
      </c>
    </row>
    <row r="64" spans="1:18" ht="12.75">
      <c r="A64" s="189">
        <v>28</v>
      </c>
      <c r="B64" s="196" t="s">
        <v>220</v>
      </c>
      <c r="C64" s="179">
        <f t="shared" si="11"/>
        <v>1781</v>
      </c>
      <c r="D64" s="184">
        <v>63</v>
      </c>
      <c r="E64" s="191">
        <v>1718</v>
      </c>
      <c r="F64" s="181">
        <f t="shared" si="13"/>
        <v>2</v>
      </c>
      <c r="G64" s="191">
        <v>2</v>
      </c>
      <c r="H64" s="191">
        <v>0</v>
      </c>
      <c r="I64" s="191">
        <v>0</v>
      </c>
      <c r="J64" s="191">
        <v>2</v>
      </c>
      <c r="K64" s="181">
        <f t="shared" si="12"/>
        <v>220</v>
      </c>
      <c r="L64" s="192">
        <v>151</v>
      </c>
      <c r="M64" s="192">
        <v>69</v>
      </c>
      <c r="N64" s="181">
        <f t="shared" si="14"/>
        <v>36</v>
      </c>
      <c r="O64" s="192">
        <v>26</v>
      </c>
      <c r="P64" s="192">
        <v>0</v>
      </c>
      <c r="Q64" s="192">
        <v>10</v>
      </c>
      <c r="R64" s="192">
        <v>25</v>
      </c>
    </row>
    <row r="65" spans="1:18" ht="12.75">
      <c r="A65" s="189">
        <v>29</v>
      </c>
      <c r="B65" s="196" t="s">
        <v>221</v>
      </c>
      <c r="C65" s="179">
        <f t="shared" si="11"/>
        <v>624</v>
      </c>
      <c r="D65" s="184">
        <v>317</v>
      </c>
      <c r="E65" s="191">
        <v>307</v>
      </c>
      <c r="F65" s="181">
        <f t="shared" si="13"/>
        <v>250</v>
      </c>
      <c r="G65" s="191">
        <v>250</v>
      </c>
      <c r="H65" s="191">
        <v>81</v>
      </c>
      <c r="I65" s="191">
        <v>0</v>
      </c>
      <c r="J65" s="191">
        <v>18</v>
      </c>
      <c r="K65" s="181">
        <f t="shared" si="12"/>
        <v>300</v>
      </c>
      <c r="L65" s="192">
        <v>295</v>
      </c>
      <c r="M65" s="184">
        <v>5</v>
      </c>
      <c r="N65" s="299">
        <f t="shared" si="14"/>
        <v>77</v>
      </c>
      <c r="O65" s="192">
        <v>77</v>
      </c>
      <c r="P65" s="192">
        <v>28</v>
      </c>
      <c r="Q65" s="192">
        <v>0</v>
      </c>
      <c r="R65" s="192">
        <v>0</v>
      </c>
    </row>
    <row r="66" spans="1:18" ht="12.75">
      <c r="A66" s="189">
        <v>30</v>
      </c>
      <c r="B66" s="196" t="s">
        <v>222</v>
      </c>
      <c r="C66" s="179">
        <f t="shared" si="11"/>
        <v>403</v>
      </c>
      <c r="D66" s="184">
        <v>48</v>
      </c>
      <c r="E66" s="191">
        <v>355</v>
      </c>
      <c r="F66" s="181">
        <f t="shared" si="13"/>
        <v>14</v>
      </c>
      <c r="G66" s="191">
        <v>0</v>
      </c>
      <c r="H66" s="191">
        <v>0</v>
      </c>
      <c r="I66" s="191">
        <v>14</v>
      </c>
      <c r="J66" s="191">
        <v>0</v>
      </c>
      <c r="K66" s="181">
        <f t="shared" si="12"/>
        <v>779</v>
      </c>
      <c r="L66" s="192">
        <v>277</v>
      </c>
      <c r="M66" s="192">
        <v>502</v>
      </c>
      <c r="N66" s="181">
        <f t="shared" si="14"/>
        <v>74</v>
      </c>
      <c r="O66" s="192">
        <v>74</v>
      </c>
      <c r="P66" s="192">
        <v>0</v>
      </c>
      <c r="Q66" s="192">
        <v>0</v>
      </c>
      <c r="R66" s="192">
        <v>55</v>
      </c>
    </row>
    <row r="67" spans="1:18" ht="12.75">
      <c r="A67" s="189">
        <v>31</v>
      </c>
      <c r="B67" s="196" t="s">
        <v>223</v>
      </c>
      <c r="C67" s="179">
        <f t="shared" si="11"/>
        <v>52805</v>
      </c>
      <c r="D67" s="184">
        <v>153</v>
      </c>
      <c r="E67" s="191">
        <v>52652</v>
      </c>
      <c r="F67" s="216" t="s">
        <v>292</v>
      </c>
      <c r="G67" s="191">
        <v>0</v>
      </c>
      <c r="H67" s="191">
        <v>0</v>
      </c>
      <c r="I67" s="191">
        <v>2</v>
      </c>
      <c r="J67" s="193" t="s">
        <v>292</v>
      </c>
      <c r="K67" s="181">
        <f t="shared" si="12"/>
        <v>22830</v>
      </c>
      <c r="L67" s="192">
        <v>41</v>
      </c>
      <c r="M67" s="192">
        <v>22789</v>
      </c>
      <c r="N67" s="181">
        <f t="shared" si="14"/>
        <v>0</v>
      </c>
      <c r="O67" s="192">
        <v>0</v>
      </c>
      <c r="P67" s="192">
        <v>0</v>
      </c>
      <c r="Q67" s="192">
        <v>0</v>
      </c>
      <c r="R67" s="192">
        <v>0</v>
      </c>
    </row>
    <row r="68" spans="1:18" ht="12.75">
      <c r="A68" s="189">
        <v>32</v>
      </c>
      <c r="B68" s="196" t="s">
        <v>224</v>
      </c>
      <c r="C68" s="179">
        <f t="shared" si="11"/>
        <v>349</v>
      </c>
      <c r="D68" s="184">
        <v>348</v>
      </c>
      <c r="E68" s="191">
        <v>1</v>
      </c>
      <c r="F68" s="181">
        <f t="shared" si="13"/>
        <v>68</v>
      </c>
      <c r="G68" s="192">
        <v>67</v>
      </c>
      <c r="H68" s="192">
        <v>2</v>
      </c>
      <c r="I68" s="191">
        <v>1</v>
      </c>
      <c r="J68" s="192">
        <v>67</v>
      </c>
      <c r="K68" s="181">
        <f t="shared" si="12"/>
        <v>203</v>
      </c>
      <c r="L68" s="191">
        <v>203</v>
      </c>
      <c r="M68" s="191">
        <v>0</v>
      </c>
      <c r="N68" s="181">
        <f t="shared" si="14"/>
        <v>47</v>
      </c>
      <c r="O68" s="192">
        <v>47</v>
      </c>
      <c r="P68" s="192">
        <v>4</v>
      </c>
      <c r="Q68" s="192">
        <v>0</v>
      </c>
      <c r="R68" s="192">
        <v>46</v>
      </c>
    </row>
    <row r="69" spans="1:18" ht="12.75">
      <c r="A69" s="189">
        <v>33</v>
      </c>
      <c r="B69" s="196" t="s">
        <v>225</v>
      </c>
      <c r="C69" s="179">
        <f t="shared" si="11"/>
        <v>598</v>
      </c>
      <c r="D69" s="184">
        <v>439</v>
      </c>
      <c r="E69" s="191">
        <v>159</v>
      </c>
      <c r="F69" s="181">
        <v>280</v>
      </c>
      <c r="G69" s="191">
        <v>0</v>
      </c>
      <c r="H69" s="191">
        <v>0</v>
      </c>
      <c r="I69" s="191">
        <v>10</v>
      </c>
      <c r="J69" s="191">
        <v>14</v>
      </c>
      <c r="K69" s="181">
        <f t="shared" si="12"/>
        <v>442</v>
      </c>
      <c r="L69" s="191">
        <v>159</v>
      </c>
      <c r="M69" s="191">
        <v>283</v>
      </c>
      <c r="N69" s="181">
        <f t="shared" si="14"/>
        <v>35</v>
      </c>
      <c r="O69" s="192">
        <v>0</v>
      </c>
      <c r="P69" s="192">
        <v>0</v>
      </c>
      <c r="Q69" s="192">
        <v>35</v>
      </c>
      <c r="R69" s="192">
        <v>12</v>
      </c>
    </row>
    <row r="70" spans="1:18" ht="12.75">
      <c r="A70" s="189">
        <v>34</v>
      </c>
      <c r="B70" s="196" t="s">
        <v>226</v>
      </c>
      <c r="C70" s="179">
        <f t="shared" si="11"/>
        <v>4539</v>
      </c>
      <c r="D70" s="184">
        <v>100</v>
      </c>
      <c r="E70" s="191">
        <v>4439</v>
      </c>
      <c r="F70" s="181">
        <f t="shared" si="13"/>
        <v>0</v>
      </c>
      <c r="G70" s="191">
        <v>0</v>
      </c>
      <c r="H70" s="191">
        <v>0</v>
      </c>
      <c r="I70" s="191">
        <v>0</v>
      </c>
      <c r="J70" s="191">
        <v>0</v>
      </c>
      <c r="K70" s="181">
        <f t="shared" si="12"/>
        <v>1869</v>
      </c>
      <c r="L70" s="191">
        <v>95</v>
      </c>
      <c r="M70" s="191">
        <v>1774</v>
      </c>
      <c r="N70" s="181">
        <f t="shared" si="14"/>
        <v>0</v>
      </c>
      <c r="O70" s="192">
        <v>0</v>
      </c>
      <c r="P70" s="192">
        <v>0</v>
      </c>
      <c r="Q70" s="192">
        <v>0</v>
      </c>
      <c r="R70" s="192">
        <v>0</v>
      </c>
    </row>
    <row r="71" spans="1:18" ht="12.75">
      <c r="A71" s="189">
        <v>35</v>
      </c>
      <c r="B71" s="196" t="s">
        <v>227</v>
      </c>
      <c r="C71" s="179">
        <f t="shared" si="11"/>
        <v>8420</v>
      </c>
      <c r="D71" s="184">
        <v>763</v>
      </c>
      <c r="E71" s="191">
        <v>7657</v>
      </c>
      <c r="F71" s="181">
        <f t="shared" si="13"/>
        <v>10</v>
      </c>
      <c r="G71" s="191">
        <v>9</v>
      </c>
      <c r="H71" s="191">
        <v>7</v>
      </c>
      <c r="I71" s="191">
        <v>1</v>
      </c>
      <c r="J71" s="192">
        <v>9</v>
      </c>
      <c r="K71" s="181">
        <f t="shared" si="12"/>
        <v>2351</v>
      </c>
      <c r="L71" s="191">
        <v>342</v>
      </c>
      <c r="M71" s="191">
        <v>2009</v>
      </c>
      <c r="N71" s="181">
        <f t="shared" si="14"/>
        <v>3</v>
      </c>
      <c r="O71" s="192">
        <v>3</v>
      </c>
      <c r="P71" s="192">
        <v>0</v>
      </c>
      <c r="Q71" s="192">
        <v>0</v>
      </c>
      <c r="R71" s="192">
        <v>3</v>
      </c>
    </row>
    <row r="72" spans="1:18" ht="12.75">
      <c r="A72" s="189">
        <v>36</v>
      </c>
      <c r="B72" s="201" t="s">
        <v>229</v>
      </c>
      <c r="C72" s="179">
        <f>D72+E72</f>
        <v>16</v>
      </c>
      <c r="D72" s="202">
        <v>16</v>
      </c>
      <c r="E72" s="203"/>
      <c r="F72" s="181">
        <f>G72+I72</f>
        <v>2</v>
      </c>
      <c r="G72" s="203">
        <v>2</v>
      </c>
      <c r="H72" s="203">
        <v>2</v>
      </c>
      <c r="I72" s="203"/>
      <c r="J72" s="204">
        <v>2</v>
      </c>
      <c r="K72" s="181">
        <f>L72+M72</f>
        <v>698</v>
      </c>
      <c r="L72" s="203">
        <v>631</v>
      </c>
      <c r="M72" s="203">
        <v>67</v>
      </c>
      <c r="N72" s="181">
        <f>O72+Q72</f>
        <v>326</v>
      </c>
      <c r="O72" s="204">
        <v>322</v>
      </c>
      <c r="P72" s="204">
        <v>92</v>
      </c>
      <c r="Q72" s="204">
        <v>4</v>
      </c>
      <c r="R72" s="204">
        <v>231</v>
      </c>
    </row>
    <row r="73" spans="1:18" ht="12.75">
      <c r="A73" s="189">
        <v>37</v>
      </c>
      <c r="B73" s="201" t="s">
        <v>230</v>
      </c>
      <c r="C73" s="179">
        <f aca="true" t="shared" si="15" ref="C73:C81">D73+E73</f>
        <v>21</v>
      </c>
      <c r="D73" s="202">
        <v>21</v>
      </c>
      <c r="E73" s="203">
        <v>0</v>
      </c>
      <c r="F73" s="181">
        <f aca="true" t="shared" si="16" ref="F73:F80">G73+I73</f>
        <v>10</v>
      </c>
      <c r="G73" s="203">
        <v>10</v>
      </c>
      <c r="H73" s="203">
        <v>2</v>
      </c>
      <c r="I73" s="203">
        <v>0</v>
      </c>
      <c r="J73" s="203">
        <v>0</v>
      </c>
      <c r="K73" s="181">
        <f>L73+M73</f>
        <v>20</v>
      </c>
      <c r="L73" s="203">
        <v>20</v>
      </c>
      <c r="M73" s="203">
        <v>0</v>
      </c>
      <c r="N73" s="181">
        <f>O73+Q73</f>
        <v>0</v>
      </c>
      <c r="O73" s="204">
        <v>0</v>
      </c>
      <c r="P73" s="204">
        <v>0</v>
      </c>
      <c r="Q73" s="204">
        <v>0</v>
      </c>
      <c r="R73" s="204">
        <v>0</v>
      </c>
    </row>
    <row r="74" spans="1:18" ht="12.75">
      <c r="A74" s="189">
        <v>38</v>
      </c>
      <c r="B74" s="201" t="s">
        <v>231</v>
      </c>
      <c r="C74" s="179">
        <f t="shared" si="15"/>
        <v>138</v>
      </c>
      <c r="D74" s="202">
        <v>99</v>
      </c>
      <c r="E74" s="203">
        <v>39</v>
      </c>
      <c r="F74" s="181">
        <f t="shared" si="16"/>
        <v>1</v>
      </c>
      <c r="G74" s="203">
        <v>0</v>
      </c>
      <c r="H74" s="203">
        <v>0</v>
      </c>
      <c r="I74" s="203">
        <v>1</v>
      </c>
      <c r="J74" s="203">
        <v>1</v>
      </c>
      <c r="K74" s="181">
        <f aca="true" t="shared" si="17" ref="K74:K80">L74+M74</f>
        <v>438</v>
      </c>
      <c r="L74" s="203">
        <v>404</v>
      </c>
      <c r="M74" s="203">
        <v>34</v>
      </c>
      <c r="N74" s="181">
        <f aca="true" t="shared" si="18" ref="N74:N80">O74+Q74</f>
        <v>71</v>
      </c>
      <c r="O74" s="204">
        <v>71</v>
      </c>
      <c r="P74" s="204">
        <v>0</v>
      </c>
      <c r="Q74" s="204">
        <v>0</v>
      </c>
      <c r="R74" s="204">
        <v>71</v>
      </c>
    </row>
    <row r="75" spans="1:18" ht="12.75">
      <c r="A75" s="189">
        <v>39</v>
      </c>
      <c r="B75" s="201" t="s">
        <v>232</v>
      </c>
      <c r="C75" s="179">
        <f>D75+E75</f>
        <v>19510</v>
      </c>
      <c r="D75" s="202">
        <v>45</v>
      </c>
      <c r="E75" s="204">
        <v>19465</v>
      </c>
      <c r="F75" s="181">
        <f t="shared" si="16"/>
        <v>48</v>
      </c>
      <c r="G75" s="204">
        <v>0</v>
      </c>
      <c r="H75" s="204">
        <v>0</v>
      </c>
      <c r="I75" s="204">
        <v>48</v>
      </c>
      <c r="J75" s="204">
        <v>48</v>
      </c>
      <c r="K75" s="181">
        <f t="shared" si="17"/>
        <v>27735</v>
      </c>
      <c r="L75" s="204">
        <v>69</v>
      </c>
      <c r="M75" s="204">
        <v>27666</v>
      </c>
      <c r="N75" s="181">
        <f t="shared" si="18"/>
        <v>29</v>
      </c>
      <c r="O75" s="204">
        <v>3</v>
      </c>
      <c r="P75" s="204">
        <v>0</v>
      </c>
      <c r="Q75" s="204">
        <v>26</v>
      </c>
      <c r="R75" s="204">
        <v>29</v>
      </c>
    </row>
    <row r="76" spans="1:18" ht="12.75">
      <c r="A76" s="189">
        <v>40</v>
      </c>
      <c r="B76" s="201" t="s">
        <v>233</v>
      </c>
      <c r="C76" s="179">
        <f t="shared" si="15"/>
        <v>87230</v>
      </c>
      <c r="D76" s="202">
        <v>3793</v>
      </c>
      <c r="E76" s="204">
        <v>83437</v>
      </c>
      <c r="F76" s="181">
        <f t="shared" si="16"/>
        <v>823</v>
      </c>
      <c r="G76" s="204">
        <v>114</v>
      </c>
      <c r="H76" s="204">
        <v>28</v>
      </c>
      <c r="I76" s="204">
        <v>709</v>
      </c>
      <c r="J76" s="203">
        <v>232</v>
      </c>
      <c r="K76" s="181">
        <f>L76+M76</f>
        <v>6561</v>
      </c>
      <c r="L76" s="203">
        <v>1137</v>
      </c>
      <c r="M76" s="203">
        <v>5424</v>
      </c>
      <c r="N76" s="181">
        <f t="shared" si="18"/>
        <v>121</v>
      </c>
      <c r="O76" s="204">
        <v>56</v>
      </c>
      <c r="P76" s="204">
        <v>8</v>
      </c>
      <c r="Q76" s="204">
        <v>65</v>
      </c>
      <c r="R76" s="204">
        <v>48</v>
      </c>
    </row>
    <row r="77" spans="1:18" ht="12.75">
      <c r="A77" s="189">
        <v>41</v>
      </c>
      <c r="B77" s="201" t="s">
        <v>234</v>
      </c>
      <c r="C77" s="179">
        <f t="shared" si="15"/>
        <v>7354</v>
      </c>
      <c r="D77" s="202">
        <v>712</v>
      </c>
      <c r="E77" s="203">
        <v>6642</v>
      </c>
      <c r="F77" s="181">
        <f t="shared" si="16"/>
        <v>115</v>
      </c>
      <c r="G77" s="203">
        <v>110</v>
      </c>
      <c r="H77" s="203">
        <v>64</v>
      </c>
      <c r="I77" s="203">
        <v>5</v>
      </c>
      <c r="J77" s="204">
        <v>115</v>
      </c>
      <c r="K77" s="181">
        <f t="shared" si="17"/>
        <v>3225</v>
      </c>
      <c r="L77" s="203">
        <v>445</v>
      </c>
      <c r="M77" s="203">
        <v>2780</v>
      </c>
      <c r="N77" s="181">
        <f>O77+Q77</f>
        <v>123</v>
      </c>
      <c r="O77" s="204">
        <v>123</v>
      </c>
      <c r="P77" s="204">
        <v>56</v>
      </c>
      <c r="Q77" s="204">
        <v>0</v>
      </c>
      <c r="R77" s="204">
        <v>77</v>
      </c>
    </row>
    <row r="78" spans="1:18" ht="12.75">
      <c r="A78" s="189">
        <v>42</v>
      </c>
      <c r="B78" s="201" t="s">
        <v>235</v>
      </c>
      <c r="C78" s="179">
        <f>D78+E78</f>
        <v>646</v>
      </c>
      <c r="D78" s="202">
        <v>83</v>
      </c>
      <c r="E78" s="203">
        <v>563</v>
      </c>
      <c r="F78" s="181">
        <f t="shared" si="16"/>
        <v>5</v>
      </c>
      <c r="G78" s="203">
        <v>5</v>
      </c>
      <c r="H78" s="203">
        <v>1</v>
      </c>
      <c r="I78" s="203">
        <v>0</v>
      </c>
      <c r="J78" s="203">
        <v>0</v>
      </c>
      <c r="K78" s="181">
        <f>L78+M78</f>
        <v>1331</v>
      </c>
      <c r="L78" s="203">
        <v>71</v>
      </c>
      <c r="M78" s="203">
        <v>1260</v>
      </c>
      <c r="N78" s="181">
        <f t="shared" si="18"/>
        <v>32</v>
      </c>
      <c r="O78" s="204">
        <v>32</v>
      </c>
      <c r="P78" s="204">
        <v>4</v>
      </c>
      <c r="Q78" s="204">
        <v>0</v>
      </c>
      <c r="R78" s="204">
        <v>0</v>
      </c>
    </row>
    <row r="79" spans="1:18" ht="12.75">
      <c r="A79" s="189">
        <v>43</v>
      </c>
      <c r="B79" s="201" t="s">
        <v>236</v>
      </c>
      <c r="C79" s="179">
        <f t="shared" si="15"/>
        <v>142</v>
      </c>
      <c r="D79" s="202">
        <v>142</v>
      </c>
      <c r="E79" s="203">
        <v>0</v>
      </c>
      <c r="F79" s="181">
        <f t="shared" si="16"/>
        <v>9</v>
      </c>
      <c r="G79" s="203">
        <v>9</v>
      </c>
      <c r="H79" s="203">
        <v>0</v>
      </c>
      <c r="I79" s="203">
        <v>0</v>
      </c>
      <c r="J79" s="203">
        <v>8</v>
      </c>
      <c r="K79" s="181">
        <f t="shared" si="17"/>
        <v>779</v>
      </c>
      <c r="L79" s="203">
        <v>779</v>
      </c>
      <c r="M79" s="203">
        <v>0</v>
      </c>
      <c r="N79" s="181">
        <f t="shared" si="18"/>
        <v>27</v>
      </c>
      <c r="O79" s="204">
        <v>27</v>
      </c>
      <c r="P79" s="204">
        <v>0</v>
      </c>
      <c r="Q79" s="204">
        <v>0</v>
      </c>
      <c r="R79" s="204">
        <v>26</v>
      </c>
    </row>
    <row r="80" spans="1:18" ht="12.75">
      <c r="A80" s="189">
        <v>44</v>
      </c>
      <c r="B80" s="201" t="s">
        <v>237</v>
      </c>
      <c r="C80" s="179">
        <f t="shared" si="15"/>
        <v>1046</v>
      </c>
      <c r="D80" s="202">
        <v>79</v>
      </c>
      <c r="E80" s="203">
        <v>967</v>
      </c>
      <c r="F80" s="181">
        <f t="shared" si="16"/>
        <v>3</v>
      </c>
      <c r="G80" s="203">
        <v>0</v>
      </c>
      <c r="H80" s="203">
        <v>0</v>
      </c>
      <c r="I80" s="203">
        <v>3</v>
      </c>
      <c r="J80" s="203">
        <v>2</v>
      </c>
      <c r="K80" s="181">
        <f t="shared" si="17"/>
        <v>141</v>
      </c>
      <c r="L80" s="203">
        <v>89</v>
      </c>
      <c r="M80" s="203">
        <v>52</v>
      </c>
      <c r="N80" s="181">
        <f t="shared" si="18"/>
        <v>72</v>
      </c>
      <c r="O80" s="204">
        <v>24</v>
      </c>
      <c r="P80" s="204">
        <v>24</v>
      </c>
      <c r="Q80" s="204">
        <v>48</v>
      </c>
      <c r="R80" s="204">
        <v>50</v>
      </c>
    </row>
    <row r="81" spans="1:18" s="121" customFormat="1" ht="15.75">
      <c r="A81" s="189">
        <v>45</v>
      </c>
      <c r="B81" s="205" t="s">
        <v>243</v>
      </c>
      <c r="C81" s="179">
        <f t="shared" si="15"/>
        <v>622</v>
      </c>
      <c r="D81" s="184">
        <v>78</v>
      </c>
      <c r="E81" s="191">
        <v>544</v>
      </c>
      <c r="F81" s="181">
        <f>G81+I81</f>
        <v>1</v>
      </c>
      <c r="G81" s="191">
        <v>1</v>
      </c>
      <c r="H81" s="191">
        <v>1</v>
      </c>
      <c r="I81" s="191">
        <v>0</v>
      </c>
      <c r="J81" s="191">
        <v>0</v>
      </c>
      <c r="K81" s="181">
        <f>L81+M81</f>
        <v>1267</v>
      </c>
      <c r="L81" s="191">
        <v>318</v>
      </c>
      <c r="M81" s="191">
        <v>949</v>
      </c>
      <c r="N81" s="181">
        <f>O81+Q81</f>
        <v>85</v>
      </c>
      <c r="O81" s="192">
        <v>85</v>
      </c>
      <c r="P81" s="192">
        <v>12</v>
      </c>
      <c r="Q81" s="192">
        <v>0</v>
      </c>
      <c r="R81" s="192">
        <v>82</v>
      </c>
    </row>
    <row r="82" spans="1:18" s="121" customFormat="1" ht="15.75">
      <c r="A82" s="189">
        <v>46</v>
      </c>
      <c r="B82" s="205" t="s">
        <v>244</v>
      </c>
      <c r="C82" s="179">
        <f aca="true" t="shared" si="19" ref="C82:C99">D82+E82</f>
        <v>2994</v>
      </c>
      <c r="D82" s="184">
        <v>53</v>
      </c>
      <c r="E82" s="191">
        <v>2941</v>
      </c>
      <c r="F82" s="181">
        <f aca="true" t="shared" si="20" ref="F82:F99">G82+I82</f>
        <v>13</v>
      </c>
      <c r="G82" s="191">
        <v>11</v>
      </c>
      <c r="H82" s="191">
        <v>0</v>
      </c>
      <c r="I82" s="191">
        <v>2</v>
      </c>
      <c r="J82" s="191">
        <v>7</v>
      </c>
      <c r="K82" s="181">
        <f aca="true" t="shared" si="21" ref="K82:K99">L82+M82</f>
        <v>292</v>
      </c>
      <c r="L82" s="191">
        <v>191</v>
      </c>
      <c r="M82" s="191">
        <v>101</v>
      </c>
      <c r="N82" s="181">
        <f aca="true" t="shared" si="22" ref="N82:N99">O82+Q82</f>
        <v>99</v>
      </c>
      <c r="O82" s="192">
        <v>50</v>
      </c>
      <c r="P82" s="192">
        <v>4</v>
      </c>
      <c r="Q82" s="192">
        <v>49</v>
      </c>
      <c r="R82" s="192">
        <v>78</v>
      </c>
    </row>
    <row r="83" spans="1:18" s="121" customFormat="1" ht="15.75">
      <c r="A83" s="189">
        <v>47</v>
      </c>
      <c r="B83" s="205" t="s">
        <v>245</v>
      </c>
      <c r="C83" s="179">
        <f t="shared" si="19"/>
        <v>8397</v>
      </c>
      <c r="D83" s="184">
        <v>526</v>
      </c>
      <c r="E83" s="191">
        <v>7871</v>
      </c>
      <c r="F83" s="181">
        <f t="shared" si="20"/>
        <v>133</v>
      </c>
      <c r="G83" s="191">
        <v>73</v>
      </c>
      <c r="H83" s="191">
        <v>15</v>
      </c>
      <c r="I83" s="191">
        <v>60</v>
      </c>
      <c r="J83" s="191">
        <v>105</v>
      </c>
      <c r="K83" s="181">
        <f t="shared" si="21"/>
        <v>21177</v>
      </c>
      <c r="L83" s="191">
        <v>110</v>
      </c>
      <c r="M83" s="191">
        <v>21067</v>
      </c>
      <c r="N83" s="181">
        <f t="shared" si="22"/>
        <v>44</v>
      </c>
      <c r="O83" s="192">
        <v>34</v>
      </c>
      <c r="P83" s="192">
        <v>9</v>
      </c>
      <c r="Q83" s="192">
        <v>10</v>
      </c>
      <c r="R83" s="192">
        <v>34</v>
      </c>
    </row>
    <row r="84" spans="1:18" s="121" customFormat="1" ht="15.75">
      <c r="A84" s="189">
        <v>48</v>
      </c>
      <c r="B84" s="205" t="s">
        <v>246</v>
      </c>
      <c r="C84" s="179">
        <v>28943</v>
      </c>
      <c r="D84" s="184">
        <v>1089</v>
      </c>
      <c r="E84" s="191">
        <v>27854</v>
      </c>
      <c r="F84" s="181">
        <v>0</v>
      </c>
      <c r="G84" s="191">
        <v>0</v>
      </c>
      <c r="H84" s="191">
        <v>0</v>
      </c>
      <c r="I84" s="191">
        <v>0</v>
      </c>
      <c r="J84" s="191">
        <v>0</v>
      </c>
      <c r="K84" s="181">
        <v>19128</v>
      </c>
      <c r="L84" s="191">
        <v>726</v>
      </c>
      <c r="M84" s="191">
        <v>18402</v>
      </c>
      <c r="N84" s="181">
        <v>603</v>
      </c>
      <c r="O84" s="192">
        <v>5</v>
      </c>
      <c r="P84" s="192">
        <v>2</v>
      </c>
      <c r="Q84" s="192">
        <v>598</v>
      </c>
      <c r="R84" s="192">
        <v>603</v>
      </c>
    </row>
    <row r="85" spans="1:18" s="121" customFormat="1" ht="15.75">
      <c r="A85" s="189">
        <v>49</v>
      </c>
      <c r="B85" s="205" t="s">
        <v>247</v>
      </c>
      <c r="C85" s="179">
        <f t="shared" si="19"/>
        <v>5339</v>
      </c>
      <c r="D85" s="184">
        <v>278</v>
      </c>
      <c r="E85" s="191">
        <v>5061</v>
      </c>
      <c r="F85" s="181">
        <f t="shared" si="20"/>
        <v>3</v>
      </c>
      <c r="G85" s="191">
        <v>3</v>
      </c>
      <c r="H85" s="191">
        <v>0</v>
      </c>
      <c r="I85" s="191">
        <v>0</v>
      </c>
      <c r="J85" s="191">
        <v>2</v>
      </c>
      <c r="K85" s="181">
        <f t="shared" si="21"/>
        <v>606</v>
      </c>
      <c r="L85" s="191">
        <v>71</v>
      </c>
      <c r="M85" s="191">
        <v>535</v>
      </c>
      <c r="N85" s="181">
        <f t="shared" si="22"/>
        <v>26</v>
      </c>
      <c r="O85" s="192">
        <v>22</v>
      </c>
      <c r="P85" s="192">
        <v>5</v>
      </c>
      <c r="Q85" s="192">
        <v>4</v>
      </c>
      <c r="R85" s="192">
        <v>17</v>
      </c>
    </row>
    <row r="86" spans="1:18" s="121" customFormat="1" ht="15.75">
      <c r="A86" s="189">
        <v>50</v>
      </c>
      <c r="B86" s="205" t="s">
        <v>248</v>
      </c>
      <c r="C86" s="179">
        <f t="shared" si="19"/>
        <v>3500</v>
      </c>
      <c r="D86" s="184">
        <v>314</v>
      </c>
      <c r="E86" s="191">
        <v>3186</v>
      </c>
      <c r="F86" s="181">
        <f t="shared" si="20"/>
        <v>7</v>
      </c>
      <c r="G86" s="191">
        <v>6</v>
      </c>
      <c r="H86" s="191">
        <v>6</v>
      </c>
      <c r="I86" s="191">
        <v>1</v>
      </c>
      <c r="J86" s="191">
        <v>0</v>
      </c>
      <c r="K86" s="181">
        <f t="shared" si="21"/>
        <v>3221</v>
      </c>
      <c r="L86" s="191">
        <v>249</v>
      </c>
      <c r="M86" s="191">
        <v>2972</v>
      </c>
      <c r="N86" s="181">
        <f t="shared" si="22"/>
        <v>15</v>
      </c>
      <c r="O86" s="192">
        <v>14</v>
      </c>
      <c r="P86" s="192">
        <v>4</v>
      </c>
      <c r="Q86" s="192">
        <v>1</v>
      </c>
      <c r="R86" s="192">
        <v>0</v>
      </c>
    </row>
    <row r="87" spans="1:18" s="121" customFormat="1" ht="15.75">
      <c r="A87" s="189">
        <v>51</v>
      </c>
      <c r="B87" s="206" t="s">
        <v>249</v>
      </c>
      <c r="C87" s="179">
        <f t="shared" si="19"/>
        <v>84</v>
      </c>
      <c r="D87" s="184">
        <v>50</v>
      </c>
      <c r="E87" s="191">
        <v>34</v>
      </c>
      <c r="F87" s="181">
        <f t="shared" si="20"/>
        <v>17</v>
      </c>
      <c r="G87" s="191">
        <v>13</v>
      </c>
      <c r="H87" s="191">
        <v>0</v>
      </c>
      <c r="I87" s="192">
        <v>4</v>
      </c>
      <c r="J87" s="191">
        <v>5</v>
      </c>
      <c r="K87" s="181">
        <f t="shared" si="21"/>
        <v>1429</v>
      </c>
      <c r="L87" s="191">
        <v>248</v>
      </c>
      <c r="M87" s="191">
        <v>1181</v>
      </c>
      <c r="N87" s="181">
        <f t="shared" si="22"/>
        <v>161</v>
      </c>
      <c r="O87" s="192">
        <v>158</v>
      </c>
      <c r="P87" s="192">
        <v>6</v>
      </c>
      <c r="Q87" s="192">
        <v>3</v>
      </c>
      <c r="R87" s="192">
        <v>156</v>
      </c>
    </row>
    <row r="88" spans="1:18" s="121" customFormat="1" ht="15.75">
      <c r="A88" s="189">
        <v>52</v>
      </c>
      <c r="B88" s="206" t="s">
        <v>250</v>
      </c>
      <c r="C88" s="179">
        <f t="shared" si="19"/>
        <v>3453</v>
      </c>
      <c r="D88" s="184">
        <v>105</v>
      </c>
      <c r="E88" s="191">
        <v>3348</v>
      </c>
      <c r="F88" s="181">
        <f t="shared" si="20"/>
        <v>33</v>
      </c>
      <c r="G88" s="191">
        <v>1</v>
      </c>
      <c r="H88" s="191">
        <v>0</v>
      </c>
      <c r="I88" s="191">
        <v>32</v>
      </c>
      <c r="J88" s="191">
        <v>31</v>
      </c>
      <c r="K88" s="181">
        <f t="shared" si="21"/>
        <v>532</v>
      </c>
      <c r="L88" s="191">
        <v>307</v>
      </c>
      <c r="M88" s="191">
        <v>225</v>
      </c>
      <c r="N88" s="181">
        <f t="shared" si="22"/>
        <v>63</v>
      </c>
      <c r="O88" s="192">
        <v>63</v>
      </c>
      <c r="P88" s="192">
        <v>9</v>
      </c>
      <c r="Q88" s="192">
        <v>0</v>
      </c>
      <c r="R88" s="192">
        <v>63</v>
      </c>
    </row>
    <row r="89" spans="1:18" s="121" customFormat="1" ht="15.75">
      <c r="A89" s="189">
        <v>53</v>
      </c>
      <c r="B89" s="206" t="s">
        <v>251</v>
      </c>
      <c r="C89" s="179">
        <f t="shared" si="19"/>
        <v>25962</v>
      </c>
      <c r="D89" s="184">
        <v>251</v>
      </c>
      <c r="E89" s="191">
        <v>25711</v>
      </c>
      <c r="F89" s="181">
        <f t="shared" si="20"/>
        <v>0</v>
      </c>
      <c r="G89" s="191">
        <v>0</v>
      </c>
      <c r="H89" s="191">
        <v>0</v>
      </c>
      <c r="I89" s="191">
        <v>0</v>
      </c>
      <c r="J89" s="191">
        <v>0</v>
      </c>
      <c r="K89" s="181">
        <f t="shared" si="21"/>
        <v>23959</v>
      </c>
      <c r="L89" s="191">
        <v>250</v>
      </c>
      <c r="M89" s="191">
        <v>23709</v>
      </c>
      <c r="N89" s="181">
        <f t="shared" si="22"/>
        <v>0</v>
      </c>
      <c r="O89" s="192">
        <v>0</v>
      </c>
      <c r="P89" s="192">
        <v>0</v>
      </c>
      <c r="Q89" s="192">
        <v>0</v>
      </c>
      <c r="R89" s="192">
        <v>0</v>
      </c>
    </row>
    <row r="90" spans="1:18" s="121" customFormat="1" ht="15.75">
      <c r="A90" s="189">
        <v>54</v>
      </c>
      <c r="B90" s="206" t="s">
        <v>252</v>
      </c>
      <c r="C90" s="179">
        <f t="shared" si="19"/>
        <v>77</v>
      </c>
      <c r="D90" s="184">
        <f>23+54</f>
        <v>77</v>
      </c>
      <c r="E90" s="191">
        <v>0</v>
      </c>
      <c r="F90" s="181">
        <f t="shared" si="20"/>
        <v>0</v>
      </c>
      <c r="G90" s="191">
        <v>0</v>
      </c>
      <c r="H90" s="191">
        <v>0</v>
      </c>
      <c r="I90" s="191">
        <v>0</v>
      </c>
      <c r="J90" s="191">
        <v>0</v>
      </c>
      <c r="K90" s="181">
        <f t="shared" si="21"/>
        <v>304</v>
      </c>
      <c r="L90" s="191">
        <f>16+76</f>
        <v>92</v>
      </c>
      <c r="M90" s="191">
        <v>212</v>
      </c>
      <c r="N90" s="181">
        <f t="shared" si="22"/>
        <v>17</v>
      </c>
      <c r="O90" s="192">
        <f>3+14</f>
        <v>17</v>
      </c>
      <c r="P90" s="192">
        <f>3+8</f>
        <v>11</v>
      </c>
      <c r="Q90" s="192">
        <v>0</v>
      </c>
      <c r="R90" s="192">
        <f>3+14</f>
        <v>17</v>
      </c>
    </row>
    <row r="91" spans="1:18" s="121" customFormat="1" ht="15.75">
      <c r="A91" s="189">
        <v>55</v>
      </c>
      <c r="B91" s="206" t="s">
        <v>253</v>
      </c>
      <c r="C91" s="179">
        <f t="shared" si="19"/>
        <v>41005</v>
      </c>
      <c r="D91" s="184">
        <v>2032</v>
      </c>
      <c r="E91" s="191">
        <v>38973</v>
      </c>
      <c r="F91" s="181">
        <f t="shared" si="20"/>
        <v>126</v>
      </c>
      <c r="G91" s="191">
        <v>103</v>
      </c>
      <c r="H91" s="191">
        <v>5</v>
      </c>
      <c r="I91" s="191">
        <v>23</v>
      </c>
      <c r="J91" s="192">
        <v>122</v>
      </c>
      <c r="K91" s="181">
        <f t="shared" si="21"/>
        <v>2125</v>
      </c>
      <c r="L91" s="191">
        <v>781</v>
      </c>
      <c r="M91" s="191">
        <v>1344</v>
      </c>
      <c r="N91" s="181">
        <f t="shared" si="22"/>
        <v>64</v>
      </c>
      <c r="O91" s="192">
        <v>43</v>
      </c>
      <c r="P91" s="192">
        <v>7</v>
      </c>
      <c r="Q91" s="192">
        <v>21</v>
      </c>
      <c r="R91" s="192">
        <v>56</v>
      </c>
    </row>
    <row r="92" spans="1:18" s="121" customFormat="1" ht="21.75" customHeight="1">
      <c r="A92" s="189">
        <v>56</v>
      </c>
      <c r="B92" s="206" t="s">
        <v>254</v>
      </c>
      <c r="C92" s="179">
        <v>14370</v>
      </c>
      <c r="D92" s="184">
        <v>723</v>
      </c>
      <c r="E92" s="192">
        <v>13647</v>
      </c>
      <c r="F92" s="181">
        <v>67</v>
      </c>
      <c r="G92" s="191">
        <v>61</v>
      </c>
      <c r="H92" s="191">
        <v>2</v>
      </c>
      <c r="I92" s="191">
        <v>6</v>
      </c>
      <c r="J92" s="191">
        <v>64</v>
      </c>
      <c r="K92" s="181">
        <v>1299</v>
      </c>
      <c r="L92" s="191">
        <v>589</v>
      </c>
      <c r="M92" s="191">
        <v>710</v>
      </c>
      <c r="N92" s="181">
        <v>186</v>
      </c>
      <c r="O92" s="192">
        <v>120</v>
      </c>
      <c r="P92" s="192">
        <v>6</v>
      </c>
      <c r="Q92" s="192">
        <v>66</v>
      </c>
      <c r="R92" s="192">
        <v>178</v>
      </c>
    </row>
    <row r="93" spans="1:18" s="121" customFormat="1" ht="15.75">
      <c r="A93" s="189">
        <v>57</v>
      </c>
      <c r="B93" s="206" t="s">
        <v>255</v>
      </c>
      <c r="C93" s="179">
        <f t="shared" si="19"/>
        <v>37</v>
      </c>
      <c r="D93" s="184">
        <v>37</v>
      </c>
      <c r="E93" s="191">
        <v>0</v>
      </c>
      <c r="F93" s="181">
        <f t="shared" si="20"/>
        <v>0</v>
      </c>
      <c r="G93" s="191">
        <v>0</v>
      </c>
      <c r="H93" s="191">
        <v>0</v>
      </c>
      <c r="I93" s="191">
        <v>0</v>
      </c>
      <c r="J93" s="191">
        <v>0</v>
      </c>
      <c r="K93" s="181">
        <f t="shared" si="21"/>
        <v>752</v>
      </c>
      <c r="L93" s="191">
        <v>617</v>
      </c>
      <c r="M93" s="191">
        <v>135</v>
      </c>
      <c r="N93" s="181">
        <f t="shared" si="22"/>
        <v>136</v>
      </c>
      <c r="O93" s="192">
        <v>133</v>
      </c>
      <c r="P93" s="192">
        <v>2</v>
      </c>
      <c r="Q93" s="192">
        <v>3</v>
      </c>
      <c r="R93" s="192">
        <v>136</v>
      </c>
    </row>
    <row r="94" spans="1:18" s="114" customFormat="1" ht="15.75">
      <c r="A94" s="189">
        <v>58</v>
      </c>
      <c r="B94" s="206" t="s">
        <v>256</v>
      </c>
      <c r="C94" s="179">
        <f t="shared" si="19"/>
        <v>8172</v>
      </c>
      <c r="D94" s="184">
        <v>125</v>
      </c>
      <c r="E94" s="192">
        <v>8047</v>
      </c>
      <c r="F94" s="181">
        <f t="shared" si="20"/>
        <v>5</v>
      </c>
      <c r="G94" s="192">
        <v>4</v>
      </c>
      <c r="H94" s="192">
        <v>2</v>
      </c>
      <c r="I94" s="192">
        <v>1</v>
      </c>
      <c r="J94" s="192">
        <v>2</v>
      </c>
      <c r="K94" s="181">
        <f t="shared" si="21"/>
        <v>307</v>
      </c>
      <c r="L94" s="192">
        <v>296</v>
      </c>
      <c r="M94" s="192">
        <v>11</v>
      </c>
      <c r="N94" s="181">
        <f t="shared" si="22"/>
        <v>109</v>
      </c>
      <c r="O94" s="192">
        <v>107</v>
      </c>
      <c r="P94" s="192">
        <v>7</v>
      </c>
      <c r="Q94" s="192">
        <v>2</v>
      </c>
      <c r="R94" s="192">
        <v>4</v>
      </c>
    </row>
    <row r="95" spans="1:18" s="121" customFormat="1" ht="15.75">
      <c r="A95" s="189">
        <v>59</v>
      </c>
      <c r="B95" s="206" t="s">
        <v>257</v>
      </c>
      <c r="C95" s="179">
        <f t="shared" si="19"/>
        <v>3543</v>
      </c>
      <c r="D95" s="184">
        <v>32</v>
      </c>
      <c r="E95" s="192">
        <v>3511</v>
      </c>
      <c r="F95" s="181">
        <f>G95+I95</f>
        <v>0</v>
      </c>
      <c r="G95" s="192">
        <v>0</v>
      </c>
      <c r="H95" s="192">
        <v>0</v>
      </c>
      <c r="I95" s="192">
        <v>0</v>
      </c>
      <c r="J95" s="192">
        <v>0</v>
      </c>
      <c r="K95" s="181">
        <f t="shared" si="21"/>
        <v>268</v>
      </c>
      <c r="L95" s="192">
        <v>17</v>
      </c>
      <c r="M95" s="192">
        <v>251</v>
      </c>
      <c r="N95" s="181">
        <f>O95+Q95</f>
        <v>4</v>
      </c>
      <c r="O95" s="192">
        <v>4</v>
      </c>
      <c r="P95" s="192">
        <v>0</v>
      </c>
      <c r="Q95" s="192">
        <v>0</v>
      </c>
      <c r="R95" s="192">
        <v>4</v>
      </c>
    </row>
    <row r="96" spans="1:18" s="121" customFormat="1" ht="15.75">
      <c r="A96" s="189">
        <v>60</v>
      </c>
      <c r="B96" s="206" t="s">
        <v>258</v>
      </c>
      <c r="C96" s="179">
        <f t="shared" si="19"/>
        <v>885</v>
      </c>
      <c r="D96" s="184">
        <v>470</v>
      </c>
      <c r="E96" s="192">
        <v>415</v>
      </c>
      <c r="F96" s="181">
        <f>G96+I96</f>
        <v>44</v>
      </c>
      <c r="G96" s="192">
        <v>22</v>
      </c>
      <c r="H96" s="192">
        <v>4</v>
      </c>
      <c r="I96" s="192">
        <v>22</v>
      </c>
      <c r="J96" s="192">
        <v>40</v>
      </c>
      <c r="K96" s="181">
        <f t="shared" si="21"/>
        <v>658</v>
      </c>
      <c r="L96" s="192">
        <v>607</v>
      </c>
      <c r="M96" s="192">
        <v>51</v>
      </c>
      <c r="N96" s="181">
        <f>O96+Q96</f>
        <v>108</v>
      </c>
      <c r="O96" s="192">
        <v>92</v>
      </c>
      <c r="P96" s="192">
        <v>30</v>
      </c>
      <c r="Q96" s="192">
        <v>16</v>
      </c>
      <c r="R96" s="192">
        <v>89</v>
      </c>
    </row>
    <row r="97" spans="1:18" s="121" customFormat="1" ht="15.75">
      <c r="A97" s="189">
        <v>61</v>
      </c>
      <c r="B97" s="206" t="s">
        <v>259</v>
      </c>
      <c r="C97" s="179">
        <f t="shared" si="19"/>
        <v>2751</v>
      </c>
      <c r="D97" s="184">
        <v>33</v>
      </c>
      <c r="E97" s="192">
        <v>2718</v>
      </c>
      <c r="F97" s="181">
        <f t="shared" si="20"/>
        <v>16</v>
      </c>
      <c r="G97" s="192">
        <v>16</v>
      </c>
      <c r="H97" s="192">
        <v>0</v>
      </c>
      <c r="I97" s="192">
        <v>0</v>
      </c>
      <c r="J97" s="192">
        <v>7</v>
      </c>
      <c r="K97" s="181">
        <f t="shared" si="21"/>
        <v>245</v>
      </c>
      <c r="L97" s="192">
        <v>193</v>
      </c>
      <c r="M97" s="192">
        <v>52</v>
      </c>
      <c r="N97" s="181">
        <f t="shared" si="22"/>
        <v>84</v>
      </c>
      <c r="O97" s="192">
        <v>84</v>
      </c>
      <c r="P97" s="192">
        <v>7</v>
      </c>
      <c r="Q97" s="192">
        <v>0</v>
      </c>
      <c r="R97" s="192">
        <v>0</v>
      </c>
    </row>
    <row r="98" spans="1:18" s="121" customFormat="1" ht="19.5" customHeight="1">
      <c r="A98" s="189">
        <v>62</v>
      </c>
      <c r="B98" s="206" t="s">
        <v>260</v>
      </c>
      <c r="C98" s="179">
        <v>2528</v>
      </c>
      <c r="D98" s="184">
        <v>404</v>
      </c>
      <c r="E98" s="191">
        <v>2124</v>
      </c>
      <c r="F98" s="181">
        <v>43</v>
      </c>
      <c r="G98" s="191">
        <v>27</v>
      </c>
      <c r="H98" s="191">
        <v>3</v>
      </c>
      <c r="I98" s="191">
        <v>16</v>
      </c>
      <c r="J98" s="191">
        <v>23</v>
      </c>
      <c r="K98" s="181">
        <v>1775</v>
      </c>
      <c r="L98" s="191">
        <v>288</v>
      </c>
      <c r="M98" s="191">
        <v>1487</v>
      </c>
      <c r="N98" s="181">
        <v>46</v>
      </c>
      <c r="O98" s="192">
        <v>30</v>
      </c>
      <c r="P98" s="192">
        <v>4</v>
      </c>
      <c r="Q98" s="192">
        <v>16</v>
      </c>
      <c r="R98" s="192">
        <v>24</v>
      </c>
    </row>
    <row r="99" spans="1:18" s="121" customFormat="1" ht="15.75">
      <c r="A99" s="189">
        <v>63</v>
      </c>
      <c r="B99" s="206" t="s">
        <v>261</v>
      </c>
      <c r="C99" s="179">
        <f t="shared" si="19"/>
        <v>9579</v>
      </c>
      <c r="D99" s="184">
        <v>238</v>
      </c>
      <c r="E99" s="191">
        <v>9341</v>
      </c>
      <c r="F99" s="181">
        <f t="shared" si="20"/>
        <v>4</v>
      </c>
      <c r="G99" s="191">
        <v>4</v>
      </c>
      <c r="H99" s="191">
        <v>0</v>
      </c>
      <c r="I99" s="191">
        <v>0</v>
      </c>
      <c r="J99" s="191">
        <v>0</v>
      </c>
      <c r="K99" s="181">
        <f t="shared" si="21"/>
        <v>6638</v>
      </c>
      <c r="L99" s="191">
        <v>174</v>
      </c>
      <c r="M99" s="191">
        <v>6464</v>
      </c>
      <c r="N99" s="181">
        <f t="shared" si="22"/>
        <v>3</v>
      </c>
      <c r="O99" s="192">
        <v>3</v>
      </c>
      <c r="P99" s="192">
        <v>0</v>
      </c>
      <c r="Q99" s="192">
        <v>0</v>
      </c>
      <c r="R99" s="192">
        <v>3</v>
      </c>
    </row>
    <row r="100" spans="1:18" s="10" customFormat="1" ht="15.75">
      <c r="A100"/>
      <c r="B100" s="150"/>
      <c r="C100" s="63"/>
      <c r="D100" s="63"/>
      <c r="E100"/>
      <c r="F100"/>
      <c r="G100"/>
      <c r="H100"/>
      <c r="I100"/>
      <c r="J100"/>
      <c r="K100"/>
      <c r="L100"/>
      <c r="M100"/>
      <c r="N100"/>
      <c r="O100"/>
      <c r="P100"/>
      <c r="Q100" s="63"/>
      <c r="R100" s="63"/>
    </row>
    <row r="101" spans="1:21" s="210" customFormat="1" ht="12.75">
      <c r="A101" s="47"/>
      <c r="B101" s="47" t="s">
        <v>264</v>
      </c>
      <c r="C101" s="47" t="s">
        <v>286</v>
      </c>
      <c r="D101" s="47"/>
      <c r="E101" s="47"/>
      <c r="F101" s="47"/>
      <c r="G101" s="47"/>
      <c r="H101" s="47"/>
      <c r="I101" s="47"/>
      <c r="J101" s="47"/>
      <c r="K101" s="212"/>
      <c r="L101" s="47"/>
      <c r="M101" s="47"/>
      <c r="N101" s="47"/>
      <c r="O101" s="47"/>
      <c r="P101" s="47"/>
      <c r="Q101" s="47"/>
      <c r="R101" s="47"/>
      <c r="S101" s="213"/>
      <c r="T101" s="213"/>
      <c r="U101" s="213"/>
    </row>
    <row r="102" spans="1:21" s="211" customFormat="1" ht="12.75">
      <c r="A102" s="47"/>
      <c r="B102" s="210" t="s">
        <v>288</v>
      </c>
      <c r="C102" s="47" t="s">
        <v>294</v>
      </c>
      <c r="F102" s="47"/>
      <c r="G102" s="47"/>
      <c r="H102" s="47"/>
      <c r="I102" s="47"/>
      <c r="J102" s="47"/>
      <c r="K102" s="212"/>
      <c r="L102" s="47"/>
      <c r="M102" s="47"/>
      <c r="N102" s="47"/>
      <c r="O102" s="47"/>
      <c r="P102" s="47"/>
      <c r="Q102" s="47"/>
      <c r="R102" s="47"/>
      <c r="S102" s="214"/>
      <c r="T102" s="214"/>
      <c r="U102" s="214"/>
    </row>
    <row r="103" spans="1:18" s="211" customFormat="1" ht="12.75">
      <c r="A103" s="47"/>
      <c r="B103" s="47" t="s">
        <v>293</v>
      </c>
      <c r="C103" s="47" t="s">
        <v>296</v>
      </c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</row>
    <row r="104" spans="1:21" s="211" customFormat="1" ht="16.5" customHeight="1">
      <c r="A104" s="47"/>
      <c r="B104" s="210" t="s">
        <v>289</v>
      </c>
      <c r="C104" s="47" t="s">
        <v>287</v>
      </c>
      <c r="F104" s="47"/>
      <c r="G104" s="47"/>
      <c r="H104" s="47"/>
      <c r="I104" s="47"/>
      <c r="J104" s="47"/>
      <c r="K104" s="212"/>
      <c r="L104" s="47"/>
      <c r="M104" s="47"/>
      <c r="N104" s="47"/>
      <c r="O104" s="47"/>
      <c r="P104" s="47"/>
      <c r="Q104" s="47"/>
      <c r="R104" s="47"/>
      <c r="S104" s="214"/>
      <c r="T104" s="214"/>
      <c r="U104" s="214"/>
    </row>
    <row r="105" spans="1:21" s="211" customFormat="1" ht="12.75">
      <c r="A105" s="47"/>
      <c r="B105" s="47" t="s">
        <v>295</v>
      </c>
      <c r="C105" s="224" t="s">
        <v>299</v>
      </c>
      <c r="D105" s="225"/>
      <c r="E105" s="224"/>
      <c r="F105" s="224"/>
      <c r="G105" s="224"/>
      <c r="H105" s="224"/>
      <c r="I105" s="224"/>
      <c r="J105" s="224"/>
      <c r="K105" s="226"/>
      <c r="L105" s="47"/>
      <c r="M105" s="47"/>
      <c r="N105" s="47"/>
      <c r="O105" s="47"/>
      <c r="P105" s="47"/>
      <c r="Q105" s="47"/>
      <c r="R105" s="47"/>
      <c r="S105" s="214"/>
      <c r="T105" s="214"/>
      <c r="U105" s="214"/>
    </row>
    <row r="106" spans="1:21" s="211" customFormat="1" ht="12.75">
      <c r="A106" s="47"/>
      <c r="B106" s="309"/>
      <c r="C106" s="47" t="s">
        <v>322</v>
      </c>
      <c r="E106" s="47"/>
      <c r="F106" s="47"/>
      <c r="G106" s="47"/>
      <c r="H106" s="47"/>
      <c r="I106" s="47"/>
      <c r="J106" s="47"/>
      <c r="K106" s="212"/>
      <c r="L106" s="47"/>
      <c r="M106" s="47"/>
      <c r="N106" s="47"/>
      <c r="O106" s="47"/>
      <c r="P106" s="47"/>
      <c r="Q106" s="47"/>
      <c r="R106" s="47"/>
      <c r="S106" s="214"/>
      <c r="T106" s="214"/>
      <c r="U106" s="214"/>
    </row>
    <row r="107" spans="1:18" s="211" customFormat="1" ht="12.75">
      <c r="A107" s="47"/>
      <c r="B107" s="47"/>
      <c r="C107" s="47" t="s">
        <v>284</v>
      </c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</row>
    <row r="108" spans="1:18" s="211" customFormat="1" ht="12.75">
      <c r="A108" s="47"/>
      <c r="B108" s="47"/>
      <c r="C108" s="47" t="s">
        <v>285</v>
      </c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</row>
    <row r="109" spans="1:18" s="211" customFormat="1" ht="12.75">
      <c r="A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</row>
    <row r="110" spans="1:18" s="211" customFormat="1" ht="12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</row>
    <row r="111" spans="1:18" s="211" customFormat="1" ht="12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</row>
    <row r="112" spans="1:18" s="211" customFormat="1" ht="12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</row>
    <row r="113" spans="1:18" s="12" customFormat="1" ht="15.75">
      <c r="A113"/>
      <c r="B113" s="150"/>
      <c r="C113" s="63"/>
      <c r="D113" s="63"/>
      <c r="E113"/>
      <c r="F113"/>
      <c r="G113"/>
      <c r="H113"/>
      <c r="I113"/>
      <c r="J113"/>
      <c r="K113"/>
      <c r="L113"/>
      <c r="M113"/>
      <c r="N113"/>
      <c r="O113"/>
      <c r="P113"/>
      <c r="Q113" s="63"/>
      <c r="R113" s="63"/>
    </row>
    <row r="114" spans="1:18" s="14" customFormat="1" ht="15.75">
      <c r="A114"/>
      <c r="B114" s="150"/>
      <c r="C114" s="63"/>
      <c r="D114" s="63"/>
      <c r="E114"/>
      <c r="F114"/>
      <c r="G114"/>
      <c r="H114"/>
      <c r="I114"/>
      <c r="J114"/>
      <c r="K114"/>
      <c r="L114"/>
      <c r="M114"/>
      <c r="N114"/>
      <c r="O114"/>
      <c r="P114"/>
      <c r="Q114" s="63"/>
      <c r="R114" s="63"/>
    </row>
    <row r="115" spans="1:18" s="10" customFormat="1" ht="15.75">
      <c r="A115"/>
      <c r="B115" s="150"/>
      <c r="C115" s="63"/>
      <c r="D115" s="63"/>
      <c r="E115"/>
      <c r="F115"/>
      <c r="G115"/>
      <c r="H115"/>
      <c r="I115"/>
      <c r="J115"/>
      <c r="K115"/>
      <c r="L115"/>
      <c r="M115"/>
      <c r="N115"/>
      <c r="O115"/>
      <c r="P115"/>
      <c r="Q115" s="63"/>
      <c r="R115" s="63"/>
    </row>
    <row r="116" spans="1:18" s="10" customFormat="1" ht="15.75">
      <c r="A116"/>
      <c r="B116" s="150"/>
      <c r="C116" s="63"/>
      <c r="D116" s="63"/>
      <c r="E116"/>
      <c r="F116"/>
      <c r="G116"/>
      <c r="H116"/>
      <c r="I116"/>
      <c r="J116"/>
      <c r="K116"/>
      <c r="L116"/>
      <c r="M116"/>
      <c r="N116"/>
      <c r="O116"/>
      <c r="P116"/>
      <c r="Q116" s="63"/>
      <c r="R116" s="63"/>
    </row>
    <row r="117" spans="1:18" s="10" customFormat="1" ht="15.75">
      <c r="A117"/>
      <c r="B117" s="150"/>
      <c r="C117" s="63"/>
      <c r="D117" s="63"/>
      <c r="E117"/>
      <c r="F117"/>
      <c r="G117"/>
      <c r="H117"/>
      <c r="I117"/>
      <c r="J117"/>
      <c r="K117"/>
      <c r="L117"/>
      <c r="M117"/>
      <c r="N117"/>
      <c r="O117"/>
      <c r="P117"/>
      <c r="Q117" s="63"/>
      <c r="R117" s="63"/>
    </row>
    <row r="118" spans="1:18" s="10" customFormat="1" ht="15.75">
      <c r="A118"/>
      <c r="B118" s="150"/>
      <c r="C118" s="63"/>
      <c r="D118" s="63"/>
      <c r="E118"/>
      <c r="F118"/>
      <c r="G118"/>
      <c r="H118"/>
      <c r="I118"/>
      <c r="J118"/>
      <c r="K118"/>
      <c r="L118"/>
      <c r="M118"/>
      <c r="N118"/>
      <c r="O118"/>
      <c r="P118"/>
      <c r="Q118" s="63"/>
      <c r="R118" s="63"/>
    </row>
    <row r="119" spans="1:18" s="10" customFormat="1" ht="15.75">
      <c r="A119"/>
      <c r="B119" s="150"/>
      <c r="C119" s="63"/>
      <c r="D119" s="63"/>
      <c r="E119"/>
      <c r="F119"/>
      <c r="G119"/>
      <c r="H119"/>
      <c r="I119"/>
      <c r="J119"/>
      <c r="K119"/>
      <c r="L119"/>
      <c r="M119"/>
      <c r="N119"/>
      <c r="O119"/>
      <c r="P119"/>
      <c r="Q119" s="63"/>
      <c r="R119" s="63"/>
    </row>
    <row r="120" spans="1:18" s="10" customFormat="1" ht="15.75">
      <c r="A120"/>
      <c r="B120" s="150"/>
      <c r="C120" s="63"/>
      <c r="D120" s="63"/>
      <c r="E120"/>
      <c r="F120"/>
      <c r="G120"/>
      <c r="H120"/>
      <c r="I120"/>
      <c r="J120"/>
      <c r="K120"/>
      <c r="L120"/>
      <c r="M120"/>
      <c r="N120"/>
      <c r="O120"/>
      <c r="P120"/>
      <c r="Q120" s="63"/>
      <c r="R120" s="63"/>
    </row>
    <row r="121" spans="1:18" s="10" customFormat="1" ht="15.75">
      <c r="A121"/>
      <c r="B121" s="150"/>
      <c r="C121" s="63"/>
      <c r="D121" s="63"/>
      <c r="E121"/>
      <c r="F121"/>
      <c r="G121"/>
      <c r="H121"/>
      <c r="I121"/>
      <c r="J121"/>
      <c r="K121"/>
      <c r="L121"/>
      <c r="M121"/>
      <c r="N121"/>
      <c r="O121"/>
      <c r="P121"/>
      <c r="Q121" s="63"/>
      <c r="R121" s="63"/>
    </row>
    <row r="122" spans="1:18" s="35" customFormat="1" ht="15.75">
      <c r="A122"/>
      <c r="B122" s="150"/>
      <c r="C122" s="63"/>
      <c r="D122" s="63"/>
      <c r="E122"/>
      <c r="F122"/>
      <c r="G122"/>
      <c r="H122"/>
      <c r="I122"/>
      <c r="J122"/>
      <c r="K122"/>
      <c r="L122"/>
      <c r="M122"/>
      <c r="N122"/>
      <c r="O122"/>
      <c r="P122"/>
      <c r="Q122" s="63"/>
      <c r="R122" s="63"/>
    </row>
    <row r="123" spans="1:18" s="10" customFormat="1" ht="16.5" customHeight="1">
      <c r="A123"/>
      <c r="B123" s="150"/>
      <c r="C123" s="63"/>
      <c r="D123" s="63"/>
      <c r="E123"/>
      <c r="F123"/>
      <c r="G123"/>
      <c r="H123"/>
      <c r="I123"/>
      <c r="J123"/>
      <c r="K123"/>
      <c r="L123"/>
      <c r="M123"/>
      <c r="N123"/>
      <c r="O123"/>
      <c r="P123"/>
      <c r="Q123" s="63"/>
      <c r="R123" s="63"/>
    </row>
    <row r="124" spans="1:18" s="10" customFormat="1" ht="15.75">
      <c r="A124"/>
      <c r="B124" s="150"/>
      <c r="C124" s="63"/>
      <c r="D124" s="63"/>
      <c r="E124"/>
      <c r="F124"/>
      <c r="G124"/>
      <c r="H124"/>
      <c r="I124"/>
      <c r="J124"/>
      <c r="K124"/>
      <c r="L124"/>
      <c r="M124"/>
      <c r="N124"/>
      <c r="O124"/>
      <c r="P124"/>
      <c r="Q124" s="63"/>
      <c r="R124" s="63"/>
    </row>
    <row r="125" spans="1:18" s="10" customFormat="1" ht="15.75">
      <c r="A125"/>
      <c r="B125" s="150"/>
      <c r="C125" s="63"/>
      <c r="D125" s="63"/>
      <c r="E125"/>
      <c r="F125"/>
      <c r="G125"/>
      <c r="H125"/>
      <c r="I125"/>
      <c r="J125"/>
      <c r="K125"/>
      <c r="L125"/>
      <c r="M125"/>
      <c r="N125"/>
      <c r="O125"/>
      <c r="P125"/>
      <c r="Q125" s="63"/>
      <c r="R125" s="63"/>
    </row>
    <row r="126" spans="1:18" s="10" customFormat="1" ht="15.75">
      <c r="A126"/>
      <c r="B126" s="150"/>
      <c r="C126" s="63"/>
      <c r="D126" s="63"/>
      <c r="E126"/>
      <c r="F126"/>
      <c r="G126"/>
      <c r="H126"/>
      <c r="I126"/>
      <c r="J126"/>
      <c r="K126"/>
      <c r="L126"/>
      <c r="M126"/>
      <c r="N126"/>
      <c r="O126"/>
      <c r="P126"/>
      <c r="Q126" s="63"/>
      <c r="R126" s="63"/>
    </row>
    <row r="127" spans="1:18" s="10" customFormat="1" ht="15.75">
      <c r="A127"/>
      <c r="B127" s="150"/>
      <c r="C127" s="63"/>
      <c r="D127" s="63"/>
      <c r="E127"/>
      <c r="F127"/>
      <c r="G127"/>
      <c r="H127"/>
      <c r="I127"/>
      <c r="J127"/>
      <c r="K127"/>
      <c r="L127"/>
      <c r="M127"/>
      <c r="N127"/>
      <c r="O127"/>
      <c r="P127"/>
      <c r="Q127" s="63"/>
      <c r="R127" s="63"/>
    </row>
    <row r="128" spans="1:18" s="10" customFormat="1" ht="15.75">
      <c r="A128"/>
      <c r="B128" s="150"/>
      <c r="C128" s="63"/>
      <c r="D128" s="63"/>
      <c r="E128"/>
      <c r="F128"/>
      <c r="G128"/>
      <c r="H128"/>
      <c r="I128"/>
      <c r="J128"/>
      <c r="K128"/>
      <c r="L128"/>
      <c r="M128"/>
      <c r="N128"/>
      <c r="O128"/>
      <c r="P128"/>
      <c r="Q128" s="63"/>
      <c r="R128" s="63"/>
    </row>
    <row r="129" spans="1:18" s="10" customFormat="1" ht="15.75">
      <c r="A129"/>
      <c r="B129" s="150"/>
      <c r="C129" s="63"/>
      <c r="D129" s="63"/>
      <c r="E129"/>
      <c r="F129"/>
      <c r="G129"/>
      <c r="H129"/>
      <c r="I129"/>
      <c r="J129"/>
      <c r="K129"/>
      <c r="L129"/>
      <c r="M129"/>
      <c r="N129"/>
      <c r="O129"/>
      <c r="P129"/>
      <c r="Q129" s="63"/>
      <c r="R129" s="63"/>
    </row>
    <row r="130" spans="1:18" s="10" customFormat="1" ht="15.75">
      <c r="A130"/>
      <c r="B130" s="150"/>
      <c r="C130" s="63"/>
      <c r="D130" s="63"/>
      <c r="E130"/>
      <c r="F130"/>
      <c r="G130"/>
      <c r="H130"/>
      <c r="I130"/>
      <c r="J130"/>
      <c r="K130"/>
      <c r="L130"/>
      <c r="M130"/>
      <c r="N130"/>
      <c r="O130"/>
      <c r="P130"/>
      <c r="Q130" s="63"/>
      <c r="R130" s="63"/>
    </row>
    <row r="131" spans="1:18" s="10" customFormat="1" ht="15.75">
      <c r="A131"/>
      <c r="B131" s="150"/>
      <c r="C131" s="63"/>
      <c r="D131" s="63"/>
      <c r="E131"/>
      <c r="F131"/>
      <c r="G131"/>
      <c r="H131"/>
      <c r="I131"/>
      <c r="J131"/>
      <c r="K131"/>
      <c r="L131"/>
      <c r="M131"/>
      <c r="N131"/>
      <c r="O131"/>
      <c r="P131"/>
      <c r="Q131" s="63"/>
      <c r="R131" s="63"/>
    </row>
    <row r="132" spans="1:18" s="10" customFormat="1" ht="15.75">
      <c r="A132"/>
      <c r="B132" s="150"/>
      <c r="C132" s="63"/>
      <c r="D132" s="63"/>
      <c r="E132"/>
      <c r="F132"/>
      <c r="G132"/>
      <c r="H132"/>
      <c r="I132"/>
      <c r="J132"/>
      <c r="K132"/>
      <c r="L132"/>
      <c r="M132"/>
      <c r="N132"/>
      <c r="O132"/>
      <c r="P132"/>
      <c r="Q132" s="63"/>
      <c r="R132" s="63"/>
    </row>
    <row r="133" spans="1:18" s="11" customFormat="1" ht="15.75">
      <c r="A133"/>
      <c r="B133" s="150"/>
      <c r="C133" s="63"/>
      <c r="D133" s="63"/>
      <c r="E133"/>
      <c r="F133"/>
      <c r="G133"/>
      <c r="H133"/>
      <c r="I133"/>
      <c r="J133"/>
      <c r="K133"/>
      <c r="L133"/>
      <c r="M133"/>
      <c r="N133"/>
      <c r="O133"/>
      <c r="P133"/>
      <c r="Q133" s="63"/>
      <c r="R133" s="63"/>
    </row>
    <row r="134" spans="1:18" s="10" customFormat="1" ht="15.75">
      <c r="A134"/>
      <c r="B134" s="150"/>
      <c r="C134" s="63"/>
      <c r="D134" s="63"/>
      <c r="E134"/>
      <c r="F134"/>
      <c r="G134"/>
      <c r="H134"/>
      <c r="I134"/>
      <c r="J134"/>
      <c r="K134"/>
      <c r="L134"/>
      <c r="M134"/>
      <c r="N134"/>
      <c r="O134"/>
      <c r="P134"/>
      <c r="Q134" s="63"/>
      <c r="R134" s="63"/>
    </row>
    <row r="135" spans="1:18" s="10" customFormat="1" ht="15.75">
      <c r="A135"/>
      <c r="B135" s="150"/>
      <c r="C135" s="63"/>
      <c r="D135" s="63"/>
      <c r="E135"/>
      <c r="F135"/>
      <c r="G135"/>
      <c r="H135"/>
      <c r="I135"/>
      <c r="J135"/>
      <c r="K135"/>
      <c r="L135"/>
      <c r="M135"/>
      <c r="N135"/>
      <c r="O135"/>
      <c r="P135"/>
      <c r="Q135" s="63"/>
      <c r="R135" s="63"/>
    </row>
    <row r="136" spans="1:18" s="65" customFormat="1" ht="15.75">
      <c r="A136"/>
      <c r="B136" s="150"/>
      <c r="C136" s="63"/>
      <c r="D136" s="63"/>
      <c r="E136"/>
      <c r="F136"/>
      <c r="G136"/>
      <c r="H136"/>
      <c r="I136"/>
      <c r="J136"/>
      <c r="K136"/>
      <c r="L136"/>
      <c r="M136"/>
      <c r="N136"/>
      <c r="O136"/>
      <c r="P136"/>
      <c r="Q136" s="63"/>
      <c r="R136" s="63"/>
    </row>
    <row r="137" spans="1:18" s="11" customFormat="1" ht="15.75">
      <c r="A137"/>
      <c r="B137" s="150"/>
      <c r="C137" s="63"/>
      <c r="D137" s="63"/>
      <c r="E137"/>
      <c r="F137"/>
      <c r="G137"/>
      <c r="H137"/>
      <c r="I137"/>
      <c r="J137"/>
      <c r="K137"/>
      <c r="L137"/>
      <c r="M137"/>
      <c r="N137"/>
      <c r="O137"/>
      <c r="P137"/>
      <c r="Q137" s="63"/>
      <c r="R137" s="63"/>
    </row>
    <row r="138" spans="1:18" s="10" customFormat="1" ht="15.75">
      <c r="A138"/>
      <c r="B138" s="150"/>
      <c r="C138" s="63"/>
      <c r="D138" s="63"/>
      <c r="E138"/>
      <c r="F138"/>
      <c r="G138"/>
      <c r="H138"/>
      <c r="I138"/>
      <c r="J138"/>
      <c r="K138"/>
      <c r="L138"/>
      <c r="M138"/>
      <c r="N138"/>
      <c r="O138"/>
      <c r="P138"/>
      <c r="Q138" s="63"/>
      <c r="R138" s="63"/>
    </row>
    <row r="139" spans="1:18" s="10" customFormat="1" ht="15.75">
      <c r="A139"/>
      <c r="B139" s="150"/>
      <c r="C139" s="63"/>
      <c r="D139" s="63"/>
      <c r="E139"/>
      <c r="F139"/>
      <c r="G139"/>
      <c r="H139"/>
      <c r="I139"/>
      <c r="J139"/>
      <c r="K139"/>
      <c r="L139"/>
      <c r="M139"/>
      <c r="N139"/>
      <c r="O139"/>
      <c r="P139"/>
      <c r="Q139" s="63"/>
      <c r="R139" s="63"/>
    </row>
    <row r="140" spans="1:18" s="11" customFormat="1" ht="15.75">
      <c r="A140"/>
      <c r="B140" s="150"/>
      <c r="C140" s="63"/>
      <c r="D140" s="63"/>
      <c r="E140"/>
      <c r="F140"/>
      <c r="G140"/>
      <c r="H140"/>
      <c r="I140"/>
      <c r="J140"/>
      <c r="K140"/>
      <c r="L140"/>
      <c r="M140"/>
      <c r="N140"/>
      <c r="O140"/>
      <c r="P140"/>
      <c r="Q140" s="63"/>
      <c r="R140" s="63"/>
    </row>
    <row r="141" spans="1:18" s="10" customFormat="1" ht="15.75">
      <c r="A141"/>
      <c r="B141" s="150"/>
      <c r="C141" s="63"/>
      <c r="D141" s="63"/>
      <c r="E141"/>
      <c r="F141"/>
      <c r="G141"/>
      <c r="H141"/>
      <c r="I141"/>
      <c r="J141"/>
      <c r="K141"/>
      <c r="L141"/>
      <c r="M141"/>
      <c r="N141"/>
      <c r="O141"/>
      <c r="P141"/>
      <c r="Q141" s="63"/>
      <c r="R141" s="63"/>
    </row>
    <row r="142" spans="1:18" s="10" customFormat="1" ht="15.75">
      <c r="A142"/>
      <c r="B142" s="150"/>
      <c r="C142" s="63"/>
      <c r="D142" s="63"/>
      <c r="E142"/>
      <c r="F142"/>
      <c r="G142"/>
      <c r="H142"/>
      <c r="I142"/>
      <c r="J142"/>
      <c r="K142"/>
      <c r="L142"/>
      <c r="M142"/>
      <c r="N142"/>
      <c r="O142"/>
      <c r="P142"/>
      <c r="Q142" s="63"/>
      <c r="R142" s="63"/>
    </row>
    <row r="143" spans="1:18" s="10" customFormat="1" ht="15.75">
      <c r="A143"/>
      <c r="B143" s="150"/>
      <c r="C143" s="63"/>
      <c r="D143" s="63"/>
      <c r="E143"/>
      <c r="F143"/>
      <c r="G143"/>
      <c r="H143"/>
      <c r="I143"/>
      <c r="J143"/>
      <c r="K143"/>
      <c r="L143"/>
      <c r="M143"/>
      <c r="N143"/>
      <c r="O143"/>
      <c r="P143"/>
      <c r="Q143" s="63"/>
      <c r="R143" s="63"/>
    </row>
    <row r="144" spans="1:18" s="10" customFormat="1" ht="15.75">
      <c r="A144"/>
      <c r="B144" s="150"/>
      <c r="C144" s="63"/>
      <c r="D144" s="63"/>
      <c r="E144"/>
      <c r="F144"/>
      <c r="G144"/>
      <c r="H144"/>
      <c r="I144"/>
      <c r="J144"/>
      <c r="K144"/>
      <c r="L144"/>
      <c r="M144"/>
      <c r="N144"/>
      <c r="O144"/>
      <c r="P144"/>
      <c r="Q144" s="63"/>
      <c r="R144" s="63"/>
    </row>
    <row r="145" spans="1:18" s="11" customFormat="1" ht="15.75">
      <c r="A145"/>
      <c r="B145" s="150"/>
      <c r="C145" s="63"/>
      <c r="D145" s="63"/>
      <c r="E145"/>
      <c r="F145"/>
      <c r="G145"/>
      <c r="H145"/>
      <c r="I145"/>
      <c r="J145"/>
      <c r="K145"/>
      <c r="L145"/>
      <c r="M145"/>
      <c r="N145"/>
      <c r="O145"/>
      <c r="P145"/>
      <c r="Q145" s="63"/>
      <c r="R145" s="63"/>
    </row>
    <row r="146" spans="1:18" s="10" customFormat="1" ht="15.75">
      <c r="A146"/>
      <c r="B146" s="150"/>
      <c r="C146" s="63"/>
      <c r="D146" s="63"/>
      <c r="E146"/>
      <c r="F146"/>
      <c r="G146"/>
      <c r="H146"/>
      <c r="I146"/>
      <c r="J146"/>
      <c r="K146"/>
      <c r="L146"/>
      <c r="M146"/>
      <c r="N146"/>
      <c r="O146"/>
      <c r="P146"/>
      <c r="Q146" s="63"/>
      <c r="R146" s="63"/>
    </row>
    <row r="147" spans="1:18" s="10" customFormat="1" ht="15.75">
      <c r="A147"/>
      <c r="B147" s="150"/>
      <c r="C147" s="63"/>
      <c r="D147" s="63"/>
      <c r="E147"/>
      <c r="F147"/>
      <c r="G147"/>
      <c r="H147"/>
      <c r="I147"/>
      <c r="J147"/>
      <c r="K147"/>
      <c r="L147"/>
      <c r="M147"/>
      <c r="N147"/>
      <c r="O147"/>
      <c r="P147"/>
      <c r="Q147" s="63"/>
      <c r="R147" s="63"/>
    </row>
    <row r="148" spans="1:18" s="10" customFormat="1" ht="15.75">
      <c r="A148"/>
      <c r="B148" s="150"/>
      <c r="C148" s="63"/>
      <c r="D148" s="63"/>
      <c r="E148"/>
      <c r="F148"/>
      <c r="G148"/>
      <c r="H148"/>
      <c r="I148"/>
      <c r="J148"/>
      <c r="K148"/>
      <c r="L148"/>
      <c r="M148"/>
      <c r="N148"/>
      <c r="O148"/>
      <c r="P148"/>
      <c r="Q148" s="63"/>
      <c r="R148" s="63"/>
    </row>
    <row r="149" spans="1:18" s="10" customFormat="1" ht="15.75">
      <c r="A149"/>
      <c r="B149" s="150"/>
      <c r="C149" s="63"/>
      <c r="D149" s="63"/>
      <c r="E149"/>
      <c r="F149"/>
      <c r="G149"/>
      <c r="H149"/>
      <c r="I149"/>
      <c r="J149"/>
      <c r="K149"/>
      <c r="L149"/>
      <c r="M149"/>
      <c r="N149"/>
      <c r="O149"/>
      <c r="P149"/>
      <c r="Q149" s="63"/>
      <c r="R149" s="63"/>
    </row>
    <row r="150" spans="1:18" s="10" customFormat="1" ht="15.75">
      <c r="A150"/>
      <c r="B150" s="150"/>
      <c r="C150" s="63"/>
      <c r="D150" s="63"/>
      <c r="E150"/>
      <c r="F150"/>
      <c r="G150"/>
      <c r="H150"/>
      <c r="I150"/>
      <c r="J150"/>
      <c r="K150"/>
      <c r="L150"/>
      <c r="M150"/>
      <c r="N150"/>
      <c r="O150"/>
      <c r="P150"/>
      <c r="Q150" s="63"/>
      <c r="R150" s="63"/>
    </row>
    <row r="151" spans="1:18" s="10" customFormat="1" ht="15.75">
      <c r="A151"/>
      <c r="B151" s="150"/>
      <c r="C151" s="63"/>
      <c r="D151" s="63"/>
      <c r="E151"/>
      <c r="F151"/>
      <c r="G151"/>
      <c r="H151"/>
      <c r="I151"/>
      <c r="J151"/>
      <c r="K151"/>
      <c r="L151"/>
      <c r="M151"/>
      <c r="N151"/>
      <c r="O151"/>
      <c r="P151"/>
      <c r="Q151" s="63"/>
      <c r="R151" s="63"/>
    </row>
    <row r="152" spans="1:18" s="11" customFormat="1" ht="15.75">
      <c r="A152"/>
      <c r="B152" s="150"/>
      <c r="C152" s="63"/>
      <c r="D152" s="63"/>
      <c r="E152"/>
      <c r="F152"/>
      <c r="G152"/>
      <c r="H152"/>
      <c r="I152"/>
      <c r="J152"/>
      <c r="K152"/>
      <c r="L152"/>
      <c r="M152"/>
      <c r="N152"/>
      <c r="O152"/>
      <c r="P152"/>
      <c r="Q152" s="63"/>
      <c r="R152" s="63"/>
    </row>
    <row r="153" spans="1:18" s="10" customFormat="1" ht="15.75">
      <c r="A153"/>
      <c r="B153" s="150"/>
      <c r="C153" s="63"/>
      <c r="D153" s="63"/>
      <c r="E153"/>
      <c r="F153"/>
      <c r="G153"/>
      <c r="H153"/>
      <c r="I153"/>
      <c r="J153"/>
      <c r="K153"/>
      <c r="L153"/>
      <c r="M153"/>
      <c r="N153"/>
      <c r="O153"/>
      <c r="P153"/>
      <c r="Q153" s="63"/>
      <c r="R153" s="63"/>
    </row>
    <row r="154" spans="1:18" s="35" customFormat="1" ht="15.75">
      <c r="A154"/>
      <c r="B154" s="150"/>
      <c r="C154" s="63"/>
      <c r="D154" s="63"/>
      <c r="E154"/>
      <c r="F154"/>
      <c r="G154"/>
      <c r="H154"/>
      <c r="I154"/>
      <c r="J154"/>
      <c r="K154"/>
      <c r="L154"/>
      <c r="M154"/>
      <c r="N154"/>
      <c r="O154"/>
      <c r="P154"/>
      <c r="Q154" s="63"/>
      <c r="R154" s="63"/>
    </row>
    <row r="155" spans="1:18" s="11" customFormat="1" ht="15.75">
      <c r="A155"/>
      <c r="B155" s="150"/>
      <c r="C155" s="63"/>
      <c r="D155" s="63"/>
      <c r="E155"/>
      <c r="F155"/>
      <c r="G155"/>
      <c r="H155"/>
      <c r="I155"/>
      <c r="J155"/>
      <c r="K155"/>
      <c r="L155"/>
      <c r="M155"/>
      <c r="N155"/>
      <c r="O155"/>
      <c r="P155"/>
      <c r="Q155" s="63"/>
      <c r="R155" s="63"/>
    </row>
    <row r="156" spans="2:18" s="11" customFormat="1" ht="28.5" customHeight="1">
      <c r="B156" s="153"/>
      <c r="Q156" s="65"/>
      <c r="R156" s="65"/>
    </row>
    <row r="157" spans="5:18" ht="15.75">
      <c r="E157"/>
      <c r="F157"/>
      <c r="G157"/>
      <c r="H157"/>
      <c r="I157"/>
      <c r="J157"/>
      <c r="K157"/>
      <c r="L157"/>
      <c r="M157"/>
      <c r="N157"/>
      <c r="O157"/>
      <c r="P157"/>
      <c r="Q157" s="63"/>
      <c r="R157" s="63"/>
    </row>
    <row r="158" spans="5:18" ht="15.75">
      <c r="E158"/>
      <c r="F158"/>
      <c r="G158"/>
      <c r="H158"/>
      <c r="I158"/>
      <c r="J158"/>
      <c r="K158"/>
      <c r="L158"/>
      <c r="M158"/>
      <c r="N158"/>
      <c r="O158"/>
      <c r="P158"/>
      <c r="Q158" s="63"/>
      <c r="R158" s="63"/>
    </row>
    <row r="159" spans="5:18" ht="15.75">
      <c r="E159"/>
      <c r="F159"/>
      <c r="G159"/>
      <c r="H159"/>
      <c r="I159"/>
      <c r="J159"/>
      <c r="K159"/>
      <c r="L159"/>
      <c r="M159"/>
      <c r="N159"/>
      <c r="O159"/>
      <c r="P159"/>
      <c r="Q159" s="63"/>
      <c r="R159" s="63"/>
    </row>
    <row r="160" spans="5:18" ht="15.75">
      <c r="E160"/>
      <c r="F160"/>
      <c r="G160"/>
      <c r="H160"/>
      <c r="I160"/>
      <c r="J160"/>
      <c r="K160"/>
      <c r="L160"/>
      <c r="M160"/>
      <c r="N160"/>
      <c r="O160"/>
      <c r="P160"/>
      <c r="Q160" s="63"/>
      <c r="R160" s="63"/>
    </row>
    <row r="161" spans="5:18" ht="15.75">
      <c r="E161"/>
      <c r="F161"/>
      <c r="G161"/>
      <c r="H161"/>
      <c r="I161"/>
      <c r="J161"/>
      <c r="K161"/>
      <c r="L161"/>
      <c r="M161"/>
      <c r="N161"/>
      <c r="O161"/>
      <c r="P161"/>
      <c r="Q161" s="63"/>
      <c r="R161" s="63"/>
    </row>
    <row r="162" spans="5:18" ht="15.75">
      <c r="E162"/>
      <c r="F162"/>
      <c r="G162"/>
      <c r="H162"/>
      <c r="I162"/>
      <c r="J162"/>
      <c r="K162"/>
      <c r="L162"/>
      <c r="M162"/>
      <c r="N162"/>
      <c r="O162"/>
      <c r="P162"/>
      <c r="Q162" s="63"/>
      <c r="R162" s="63"/>
    </row>
    <row r="163" spans="5:18" ht="15.75">
      <c r="E163"/>
      <c r="F163"/>
      <c r="G163"/>
      <c r="H163"/>
      <c r="I163"/>
      <c r="J163"/>
      <c r="K163"/>
      <c r="L163"/>
      <c r="M163"/>
      <c r="N163"/>
      <c r="O163"/>
      <c r="P163"/>
      <c r="Q163" s="63"/>
      <c r="R163" s="63"/>
    </row>
    <row r="164" spans="5:18" ht="15.75">
      <c r="E164"/>
      <c r="F164"/>
      <c r="G164"/>
      <c r="H164"/>
      <c r="I164"/>
      <c r="J164"/>
      <c r="K164"/>
      <c r="L164"/>
      <c r="M164"/>
      <c r="N164"/>
      <c r="O164"/>
      <c r="P164"/>
      <c r="Q164" s="63"/>
      <c r="R164" s="63"/>
    </row>
    <row r="165" spans="5:18" ht="15.75">
      <c r="E165"/>
      <c r="F165"/>
      <c r="G165"/>
      <c r="H165"/>
      <c r="I165"/>
      <c r="J165"/>
      <c r="K165"/>
      <c r="L165"/>
      <c r="M165"/>
      <c r="N165"/>
      <c r="O165"/>
      <c r="P165"/>
      <c r="Q165" s="63"/>
      <c r="R165" s="63"/>
    </row>
    <row r="166" spans="5:18" ht="15.75">
      <c r="E166"/>
      <c r="F166"/>
      <c r="G166"/>
      <c r="H166"/>
      <c r="I166"/>
      <c r="J166"/>
      <c r="K166"/>
      <c r="L166"/>
      <c r="M166"/>
      <c r="N166"/>
      <c r="O166"/>
      <c r="P166"/>
      <c r="Q166" s="63"/>
      <c r="R166" s="63"/>
    </row>
    <row r="167" spans="5:18" ht="15.75">
      <c r="E167"/>
      <c r="F167"/>
      <c r="G167"/>
      <c r="H167"/>
      <c r="I167"/>
      <c r="J167"/>
      <c r="K167"/>
      <c r="L167"/>
      <c r="M167"/>
      <c r="N167"/>
      <c r="O167"/>
      <c r="P167"/>
      <c r="Q167" s="63"/>
      <c r="R167" s="63"/>
    </row>
    <row r="168" spans="5:18" ht="15.75">
      <c r="E168"/>
      <c r="F168"/>
      <c r="G168"/>
      <c r="H168"/>
      <c r="I168"/>
      <c r="J168"/>
      <c r="K168"/>
      <c r="L168"/>
      <c r="M168"/>
      <c r="N168"/>
      <c r="O168"/>
      <c r="P168"/>
      <c r="Q168" s="63"/>
      <c r="R168" s="63"/>
    </row>
    <row r="169" spans="5:18" ht="15.75">
      <c r="E169"/>
      <c r="F169"/>
      <c r="G169"/>
      <c r="H169"/>
      <c r="I169"/>
      <c r="J169"/>
      <c r="K169"/>
      <c r="L169"/>
      <c r="M169"/>
      <c r="N169"/>
      <c r="O169"/>
      <c r="P169"/>
      <c r="Q169" s="63"/>
      <c r="R169" s="63"/>
    </row>
    <row r="170" spans="5:18" ht="15.75">
      <c r="E170"/>
      <c r="F170"/>
      <c r="G170"/>
      <c r="H170"/>
      <c r="I170"/>
      <c r="J170"/>
      <c r="K170"/>
      <c r="L170"/>
      <c r="M170"/>
      <c r="N170"/>
      <c r="O170"/>
      <c r="P170"/>
      <c r="Q170" s="63"/>
      <c r="R170" s="63"/>
    </row>
    <row r="171" spans="5:18" ht="15.75">
      <c r="E171"/>
      <c r="F171"/>
      <c r="G171"/>
      <c r="H171"/>
      <c r="I171"/>
      <c r="J171"/>
      <c r="K171"/>
      <c r="L171"/>
      <c r="M171"/>
      <c r="N171"/>
      <c r="O171"/>
      <c r="P171"/>
      <c r="Q171" s="63"/>
      <c r="R171" s="63"/>
    </row>
    <row r="172" spans="5:18" ht="15.75">
      <c r="E172"/>
      <c r="F172"/>
      <c r="G172"/>
      <c r="H172"/>
      <c r="I172"/>
      <c r="J172"/>
      <c r="K172"/>
      <c r="L172"/>
      <c r="M172"/>
      <c r="N172"/>
      <c r="O172"/>
      <c r="P172"/>
      <c r="Q172" s="63"/>
      <c r="R172" s="63"/>
    </row>
    <row r="173" spans="5:18" ht="15.75">
      <c r="E173"/>
      <c r="F173"/>
      <c r="G173"/>
      <c r="H173"/>
      <c r="I173"/>
      <c r="J173"/>
      <c r="K173"/>
      <c r="L173"/>
      <c r="M173"/>
      <c r="N173"/>
      <c r="O173"/>
      <c r="P173"/>
      <c r="Q173" s="63"/>
      <c r="R173" s="63"/>
    </row>
    <row r="174" spans="5:18" ht="15.75">
      <c r="E174"/>
      <c r="F174"/>
      <c r="G174"/>
      <c r="H174"/>
      <c r="I174"/>
      <c r="J174"/>
      <c r="K174"/>
      <c r="L174"/>
      <c r="M174"/>
      <c r="N174"/>
      <c r="O174"/>
      <c r="P174"/>
      <c r="Q174" s="63"/>
      <c r="R174" s="63"/>
    </row>
    <row r="175" spans="5:18" ht="15.75">
      <c r="E175"/>
      <c r="F175"/>
      <c r="G175"/>
      <c r="H175"/>
      <c r="I175"/>
      <c r="J175"/>
      <c r="K175"/>
      <c r="L175"/>
      <c r="M175"/>
      <c r="N175"/>
      <c r="O175"/>
      <c r="P175"/>
      <c r="Q175" s="63"/>
      <c r="R175" s="63"/>
    </row>
    <row r="176" spans="5:18" ht="15.75">
      <c r="E176"/>
      <c r="F176"/>
      <c r="G176"/>
      <c r="H176"/>
      <c r="I176"/>
      <c r="J176"/>
      <c r="K176"/>
      <c r="L176"/>
      <c r="M176"/>
      <c r="N176"/>
      <c r="O176"/>
      <c r="P176"/>
      <c r="Q176" s="63"/>
      <c r="R176" s="63"/>
    </row>
    <row r="177" spans="5:18" ht="15.75">
      <c r="E177"/>
      <c r="F177"/>
      <c r="G177"/>
      <c r="H177"/>
      <c r="I177"/>
      <c r="J177"/>
      <c r="K177"/>
      <c r="L177"/>
      <c r="M177"/>
      <c r="N177"/>
      <c r="O177"/>
      <c r="P177"/>
      <c r="Q177" s="63"/>
      <c r="R177" s="63"/>
    </row>
    <row r="178" spans="5:18" ht="15.75">
      <c r="E178"/>
      <c r="F178"/>
      <c r="G178"/>
      <c r="H178"/>
      <c r="I178"/>
      <c r="J178"/>
      <c r="K178"/>
      <c r="L178"/>
      <c r="M178"/>
      <c r="N178"/>
      <c r="O178"/>
      <c r="P178"/>
      <c r="Q178" s="63"/>
      <c r="R178" s="63"/>
    </row>
    <row r="179" spans="5:18" ht="15.75">
      <c r="E179"/>
      <c r="F179"/>
      <c r="G179"/>
      <c r="H179"/>
      <c r="I179"/>
      <c r="J179"/>
      <c r="K179"/>
      <c r="L179"/>
      <c r="M179"/>
      <c r="N179"/>
      <c r="O179"/>
      <c r="P179"/>
      <c r="Q179" s="63"/>
      <c r="R179" s="63"/>
    </row>
    <row r="180" spans="5:18" ht="15.75">
      <c r="E180"/>
      <c r="F180"/>
      <c r="G180"/>
      <c r="H180"/>
      <c r="I180"/>
      <c r="J180"/>
      <c r="K180"/>
      <c r="L180"/>
      <c r="M180"/>
      <c r="N180"/>
      <c r="O180"/>
      <c r="P180"/>
      <c r="Q180" s="63"/>
      <c r="R180" s="63"/>
    </row>
    <row r="181" spans="5:18" ht="15.75">
      <c r="E181"/>
      <c r="F181"/>
      <c r="G181"/>
      <c r="H181"/>
      <c r="I181"/>
      <c r="J181"/>
      <c r="K181"/>
      <c r="L181"/>
      <c r="M181"/>
      <c r="N181"/>
      <c r="O181"/>
      <c r="P181"/>
      <c r="Q181" s="63"/>
      <c r="R181" s="63"/>
    </row>
    <row r="182" spans="5:18" ht="15.75">
      <c r="E182"/>
      <c r="F182"/>
      <c r="G182"/>
      <c r="H182"/>
      <c r="I182"/>
      <c r="J182"/>
      <c r="K182"/>
      <c r="L182"/>
      <c r="M182"/>
      <c r="N182"/>
      <c r="O182"/>
      <c r="P182"/>
      <c r="Q182" s="63"/>
      <c r="R182" s="63"/>
    </row>
    <row r="183" spans="5:18" ht="15.75">
      <c r="E183"/>
      <c r="F183"/>
      <c r="G183"/>
      <c r="H183"/>
      <c r="I183"/>
      <c r="J183"/>
      <c r="K183"/>
      <c r="L183"/>
      <c r="M183"/>
      <c r="N183"/>
      <c r="O183"/>
      <c r="P183"/>
      <c r="Q183" s="63"/>
      <c r="R183" s="63"/>
    </row>
    <row r="184" spans="5:18" ht="15.75">
      <c r="E184"/>
      <c r="F184"/>
      <c r="G184"/>
      <c r="H184"/>
      <c r="I184"/>
      <c r="J184"/>
      <c r="K184"/>
      <c r="L184"/>
      <c r="M184"/>
      <c r="N184"/>
      <c r="O184"/>
      <c r="P184"/>
      <c r="Q184" s="63"/>
      <c r="R184" s="63"/>
    </row>
    <row r="185" spans="5:18" ht="15.75">
      <c r="E185"/>
      <c r="F185"/>
      <c r="G185"/>
      <c r="H185"/>
      <c r="I185"/>
      <c r="J185"/>
      <c r="K185"/>
      <c r="L185"/>
      <c r="M185"/>
      <c r="N185"/>
      <c r="O185"/>
      <c r="P185"/>
      <c r="Q185" s="63"/>
      <c r="R185" s="63"/>
    </row>
    <row r="186" spans="5:18" ht="15.75">
      <c r="E186"/>
      <c r="F186"/>
      <c r="G186"/>
      <c r="H186"/>
      <c r="I186"/>
      <c r="J186"/>
      <c r="K186"/>
      <c r="L186"/>
      <c r="M186"/>
      <c r="N186"/>
      <c r="O186"/>
      <c r="P186"/>
      <c r="Q186" s="63"/>
      <c r="R186" s="63"/>
    </row>
    <row r="187" spans="5:18" ht="15.75">
      <c r="E187"/>
      <c r="F187"/>
      <c r="G187"/>
      <c r="H187"/>
      <c r="I187"/>
      <c r="J187"/>
      <c r="K187"/>
      <c r="L187"/>
      <c r="M187"/>
      <c r="N187"/>
      <c r="O187"/>
      <c r="P187"/>
      <c r="Q187" s="63"/>
      <c r="R187" s="63"/>
    </row>
    <row r="188" spans="5:18" ht="15.75">
      <c r="E188"/>
      <c r="F188"/>
      <c r="G188"/>
      <c r="H188"/>
      <c r="I188"/>
      <c r="J188"/>
      <c r="K188"/>
      <c r="L188"/>
      <c r="M188"/>
      <c r="N188"/>
      <c r="O188"/>
      <c r="P188"/>
      <c r="Q188" s="63"/>
      <c r="R188" s="63"/>
    </row>
    <row r="189" spans="5:18" ht="15.75">
      <c r="E189"/>
      <c r="F189"/>
      <c r="G189"/>
      <c r="H189"/>
      <c r="I189"/>
      <c r="J189"/>
      <c r="K189"/>
      <c r="L189"/>
      <c r="M189"/>
      <c r="N189"/>
      <c r="O189"/>
      <c r="P189"/>
      <c r="Q189" s="63"/>
      <c r="R189" s="63"/>
    </row>
    <row r="190" spans="5:18" ht="15.75">
      <c r="E190"/>
      <c r="F190"/>
      <c r="G190"/>
      <c r="H190"/>
      <c r="I190"/>
      <c r="J190"/>
      <c r="K190"/>
      <c r="L190"/>
      <c r="M190"/>
      <c r="N190"/>
      <c r="O190"/>
      <c r="P190"/>
      <c r="Q190" s="63"/>
      <c r="R190" s="63"/>
    </row>
    <row r="191" spans="5:18" ht="15.75">
      <c r="E191"/>
      <c r="F191"/>
      <c r="G191"/>
      <c r="H191"/>
      <c r="I191"/>
      <c r="J191"/>
      <c r="K191"/>
      <c r="L191"/>
      <c r="M191"/>
      <c r="N191"/>
      <c r="O191"/>
      <c r="P191"/>
      <c r="Q191" s="63"/>
      <c r="R191" s="63"/>
    </row>
    <row r="192" spans="5:18" ht="15.75">
      <c r="E192"/>
      <c r="F192"/>
      <c r="G192"/>
      <c r="H192"/>
      <c r="I192"/>
      <c r="J192"/>
      <c r="K192"/>
      <c r="L192"/>
      <c r="M192"/>
      <c r="N192"/>
      <c r="O192"/>
      <c r="P192"/>
      <c r="Q192" s="63"/>
      <c r="R192" s="63"/>
    </row>
    <row r="193" spans="5:18" ht="15.75">
      <c r="E193"/>
      <c r="F193"/>
      <c r="G193"/>
      <c r="H193"/>
      <c r="I193"/>
      <c r="J193"/>
      <c r="K193"/>
      <c r="L193"/>
      <c r="M193"/>
      <c r="N193"/>
      <c r="O193"/>
      <c r="P193"/>
      <c r="Q193" s="63"/>
      <c r="R193" s="63"/>
    </row>
    <row r="194" spans="5:18" ht="15.75">
      <c r="E194"/>
      <c r="F194"/>
      <c r="G194"/>
      <c r="H194"/>
      <c r="I194"/>
      <c r="J194"/>
      <c r="K194"/>
      <c r="L194"/>
      <c r="M194"/>
      <c r="N194"/>
      <c r="O194"/>
      <c r="P194"/>
      <c r="Q194" s="63"/>
      <c r="R194" s="63"/>
    </row>
    <row r="195" spans="5:18" ht="15.75">
      <c r="E195"/>
      <c r="F195"/>
      <c r="G195"/>
      <c r="H195"/>
      <c r="I195"/>
      <c r="J195"/>
      <c r="K195"/>
      <c r="L195"/>
      <c r="M195"/>
      <c r="N195"/>
      <c r="O195"/>
      <c r="P195"/>
      <c r="Q195" s="63"/>
      <c r="R195" s="63"/>
    </row>
    <row r="196" spans="5:18" ht="15.75">
      <c r="E196"/>
      <c r="F196"/>
      <c r="G196"/>
      <c r="H196"/>
      <c r="I196"/>
      <c r="J196"/>
      <c r="K196"/>
      <c r="L196"/>
      <c r="M196"/>
      <c r="N196"/>
      <c r="O196"/>
      <c r="P196"/>
      <c r="Q196" s="63"/>
      <c r="R196" s="63"/>
    </row>
    <row r="197" spans="5:18" ht="15.75">
      <c r="E197"/>
      <c r="F197"/>
      <c r="G197"/>
      <c r="H197"/>
      <c r="I197"/>
      <c r="J197"/>
      <c r="K197"/>
      <c r="L197"/>
      <c r="M197"/>
      <c r="N197"/>
      <c r="O197"/>
      <c r="P197"/>
      <c r="Q197" s="63"/>
      <c r="R197" s="63"/>
    </row>
    <row r="198" spans="5:18" ht="15.75">
      <c r="E198"/>
      <c r="F198"/>
      <c r="G198"/>
      <c r="H198"/>
      <c r="I198"/>
      <c r="J198"/>
      <c r="K198"/>
      <c r="L198"/>
      <c r="M198"/>
      <c r="N198"/>
      <c r="O198"/>
      <c r="P198"/>
      <c r="Q198" s="63"/>
      <c r="R198" s="63"/>
    </row>
    <row r="199" spans="5:18" ht="15.75">
      <c r="E199"/>
      <c r="F199"/>
      <c r="G199"/>
      <c r="H199"/>
      <c r="I199"/>
      <c r="J199"/>
      <c r="K199"/>
      <c r="L199"/>
      <c r="M199"/>
      <c r="N199"/>
      <c r="O199"/>
      <c r="P199"/>
      <c r="Q199" s="63"/>
      <c r="R199" s="63"/>
    </row>
    <row r="200" spans="5:18" ht="15.75">
      <c r="E200"/>
      <c r="F200"/>
      <c r="G200"/>
      <c r="H200"/>
      <c r="I200"/>
      <c r="J200"/>
      <c r="K200"/>
      <c r="L200"/>
      <c r="M200"/>
      <c r="N200"/>
      <c r="O200"/>
      <c r="P200"/>
      <c r="Q200" s="63"/>
      <c r="R200" s="63"/>
    </row>
    <row r="201" spans="5:18" ht="15.75">
      <c r="E201"/>
      <c r="F201"/>
      <c r="G201"/>
      <c r="H201"/>
      <c r="I201"/>
      <c r="J201"/>
      <c r="K201"/>
      <c r="L201"/>
      <c r="M201"/>
      <c r="N201"/>
      <c r="O201"/>
      <c r="P201"/>
      <c r="Q201" s="63"/>
      <c r="R201" s="63"/>
    </row>
    <row r="202" spans="5:18" ht="15.75">
      <c r="E202"/>
      <c r="F202"/>
      <c r="G202"/>
      <c r="H202"/>
      <c r="I202"/>
      <c r="J202"/>
      <c r="K202"/>
      <c r="L202"/>
      <c r="M202"/>
      <c r="N202"/>
      <c r="O202"/>
      <c r="P202"/>
      <c r="Q202" s="63"/>
      <c r="R202" s="63"/>
    </row>
    <row r="203" spans="5:18" ht="15.75">
      <c r="E203"/>
      <c r="F203"/>
      <c r="G203"/>
      <c r="H203"/>
      <c r="I203"/>
      <c r="J203"/>
      <c r="K203"/>
      <c r="L203"/>
      <c r="M203"/>
      <c r="N203"/>
      <c r="O203"/>
      <c r="P203"/>
      <c r="Q203" s="63"/>
      <c r="R203" s="63"/>
    </row>
    <row r="204" spans="5:18" ht="15.75">
      <c r="E204"/>
      <c r="F204"/>
      <c r="G204"/>
      <c r="H204"/>
      <c r="I204"/>
      <c r="J204"/>
      <c r="K204"/>
      <c r="L204"/>
      <c r="M204"/>
      <c r="N204"/>
      <c r="O204"/>
      <c r="P204"/>
      <c r="Q204" s="63"/>
      <c r="R204" s="63"/>
    </row>
    <row r="205" spans="5:18" ht="15.75">
      <c r="E205"/>
      <c r="F205"/>
      <c r="G205"/>
      <c r="H205"/>
      <c r="I205"/>
      <c r="J205"/>
      <c r="K205"/>
      <c r="L205"/>
      <c r="M205"/>
      <c r="N205"/>
      <c r="O205"/>
      <c r="P205"/>
      <c r="Q205" s="63"/>
      <c r="R205" s="63"/>
    </row>
    <row r="206" spans="5:18" ht="15.75">
      <c r="E206"/>
      <c r="F206"/>
      <c r="G206"/>
      <c r="H206"/>
      <c r="I206"/>
      <c r="J206"/>
      <c r="K206"/>
      <c r="L206"/>
      <c r="M206"/>
      <c r="N206"/>
      <c r="O206"/>
      <c r="P206"/>
      <c r="Q206" s="63"/>
      <c r="R206" s="63"/>
    </row>
    <row r="207" spans="5:18" ht="15.75">
      <c r="E207"/>
      <c r="F207"/>
      <c r="G207"/>
      <c r="H207"/>
      <c r="I207"/>
      <c r="J207"/>
      <c r="K207"/>
      <c r="L207"/>
      <c r="M207"/>
      <c r="N207"/>
      <c r="O207"/>
      <c r="P207"/>
      <c r="Q207" s="63"/>
      <c r="R207" s="63"/>
    </row>
    <row r="208" spans="5:18" ht="15.75">
      <c r="E208"/>
      <c r="F208"/>
      <c r="G208"/>
      <c r="H208"/>
      <c r="I208"/>
      <c r="J208"/>
      <c r="K208"/>
      <c r="L208"/>
      <c r="M208"/>
      <c r="N208"/>
      <c r="O208"/>
      <c r="P208"/>
      <c r="Q208" s="63"/>
      <c r="R208" s="63"/>
    </row>
    <row r="209" spans="5:18" ht="15.75">
      <c r="E209"/>
      <c r="F209"/>
      <c r="G209"/>
      <c r="H209"/>
      <c r="I209"/>
      <c r="J209"/>
      <c r="K209"/>
      <c r="L209"/>
      <c r="M209"/>
      <c r="N209"/>
      <c r="O209"/>
      <c r="P209"/>
      <c r="Q209" s="63"/>
      <c r="R209" s="63"/>
    </row>
    <row r="210" spans="5:18" ht="15.75">
      <c r="E210"/>
      <c r="F210"/>
      <c r="G210"/>
      <c r="H210"/>
      <c r="I210"/>
      <c r="J210"/>
      <c r="K210"/>
      <c r="L210"/>
      <c r="M210"/>
      <c r="N210"/>
      <c r="O210"/>
      <c r="P210"/>
      <c r="Q210" s="63"/>
      <c r="R210" s="63"/>
    </row>
    <row r="211" spans="5:18" ht="15.75">
      <c r="E211"/>
      <c r="F211"/>
      <c r="G211"/>
      <c r="H211"/>
      <c r="I211"/>
      <c r="J211"/>
      <c r="K211"/>
      <c r="L211"/>
      <c r="M211"/>
      <c r="N211"/>
      <c r="O211"/>
      <c r="P211"/>
      <c r="Q211" s="63"/>
      <c r="R211" s="63"/>
    </row>
    <row r="212" spans="5:18" ht="15.75">
      <c r="E212"/>
      <c r="F212"/>
      <c r="G212"/>
      <c r="H212"/>
      <c r="I212"/>
      <c r="J212"/>
      <c r="K212"/>
      <c r="L212"/>
      <c r="M212"/>
      <c r="N212"/>
      <c r="O212"/>
      <c r="P212"/>
      <c r="Q212" s="63"/>
      <c r="R212" s="63"/>
    </row>
    <row r="213" spans="5:18" ht="15.75">
      <c r="E213"/>
      <c r="F213"/>
      <c r="G213"/>
      <c r="H213"/>
      <c r="I213"/>
      <c r="J213"/>
      <c r="K213"/>
      <c r="L213"/>
      <c r="M213"/>
      <c r="N213"/>
      <c r="O213"/>
      <c r="P213"/>
      <c r="Q213" s="63"/>
      <c r="R213" s="63"/>
    </row>
    <row r="214" spans="5:18" ht="15.75">
      <c r="E214"/>
      <c r="F214"/>
      <c r="G214"/>
      <c r="H214"/>
      <c r="I214"/>
      <c r="J214"/>
      <c r="K214"/>
      <c r="L214"/>
      <c r="M214"/>
      <c r="N214"/>
      <c r="O214"/>
      <c r="P214"/>
      <c r="Q214" s="63"/>
      <c r="R214" s="63"/>
    </row>
    <row r="215" spans="5:18" ht="15.75">
      <c r="E215"/>
      <c r="F215"/>
      <c r="G215"/>
      <c r="H215"/>
      <c r="I215"/>
      <c r="J215"/>
      <c r="K215"/>
      <c r="L215"/>
      <c r="M215"/>
      <c r="N215"/>
      <c r="O215"/>
      <c r="P215"/>
      <c r="Q215" s="63"/>
      <c r="R215" s="63"/>
    </row>
    <row r="216" spans="5:18" ht="15.75">
      <c r="E216"/>
      <c r="F216"/>
      <c r="G216"/>
      <c r="H216"/>
      <c r="I216"/>
      <c r="J216"/>
      <c r="K216"/>
      <c r="L216"/>
      <c r="M216"/>
      <c r="N216"/>
      <c r="O216"/>
      <c r="P216"/>
      <c r="Q216" s="63"/>
      <c r="R216" s="63"/>
    </row>
    <row r="217" spans="5:18" ht="15.75">
      <c r="E217"/>
      <c r="F217"/>
      <c r="G217"/>
      <c r="H217"/>
      <c r="I217"/>
      <c r="J217"/>
      <c r="K217"/>
      <c r="L217"/>
      <c r="M217"/>
      <c r="N217"/>
      <c r="O217"/>
      <c r="P217"/>
      <c r="Q217" s="63"/>
      <c r="R217" s="63"/>
    </row>
    <row r="218" spans="5:18" ht="15.75">
      <c r="E218"/>
      <c r="F218"/>
      <c r="G218"/>
      <c r="H218"/>
      <c r="I218"/>
      <c r="J218"/>
      <c r="K218"/>
      <c r="L218"/>
      <c r="M218"/>
      <c r="N218"/>
      <c r="O218"/>
      <c r="P218"/>
      <c r="Q218" s="63"/>
      <c r="R218" s="63"/>
    </row>
    <row r="219" spans="5:18" ht="15.75">
      <c r="E219"/>
      <c r="F219"/>
      <c r="G219"/>
      <c r="H219"/>
      <c r="I219"/>
      <c r="J219"/>
      <c r="K219"/>
      <c r="L219"/>
      <c r="M219"/>
      <c r="N219"/>
      <c r="O219"/>
      <c r="P219"/>
      <c r="Q219" s="63"/>
      <c r="R219" s="63"/>
    </row>
    <row r="220" spans="5:18" ht="15.75">
      <c r="E220"/>
      <c r="F220"/>
      <c r="G220"/>
      <c r="H220"/>
      <c r="I220"/>
      <c r="J220"/>
      <c r="K220"/>
      <c r="L220"/>
      <c r="M220"/>
      <c r="N220"/>
      <c r="O220"/>
      <c r="P220"/>
      <c r="Q220" s="63"/>
      <c r="R220" s="63"/>
    </row>
    <row r="221" spans="5:18" ht="15.75">
      <c r="E221"/>
      <c r="F221"/>
      <c r="G221"/>
      <c r="H221"/>
      <c r="I221"/>
      <c r="J221"/>
      <c r="K221"/>
      <c r="L221"/>
      <c r="M221"/>
      <c r="N221"/>
      <c r="O221"/>
      <c r="P221"/>
      <c r="Q221" s="63"/>
      <c r="R221" s="63"/>
    </row>
    <row r="222" spans="5:18" ht="15.75">
      <c r="E222"/>
      <c r="F222"/>
      <c r="G222"/>
      <c r="H222"/>
      <c r="I222"/>
      <c r="J222"/>
      <c r="K222"/>
      <c r="L222"/>
      <c r="M222"/>
      <c r="N222"/>
      <c r="O222"/>
      <c r="P222"/>
      <c r="Q222" s="63"/>
      <c r="R222" s="63"/>
    </row>
    <row r="223" spans="5:18" ht="15.75">
      <c r="E223"/>
      <c r="F223"/>
      <c r="G223"/>
      <c r="H223"/>
      <c r="I223"/>
      <c r="J223"/>
      <c r="K223"/>
      <c r="L223"/>
      <c r="M223"/>
      <c r="N223"/>
      <c r="O223"/>
      <c r="P223"/>
      <c r="Q223" s="63"/>
      <c r="R223" s="63"/>
    </row>
    <row r="224" spans="5:18" ht="15.75">
      <c r="E224"/>
      <c r="F224"/>
      <c r="G224"/>
      <c r="H224"/>
      <c r="I224"/>
      <c r="J224"/>
      <c r="K224"/>
      <c r="L224"/>
      <c r="M224"/>
      <c r="N224"/>
      <c r="O224"/>
      <c r="P224"/>
      <c r="Q224" s="63"/>
      <c r="R224" s="63"/>
    </row>
    <row r="225" spans="5:18" ht="15.75">
      <c r="E225"/>
      <c r="F225"/>
      <c r="G225"/>
      <c r="H225"/>
      <c r="I225"/>
      <c r="J225"/>
      <c r="K225"/>
      <c r="L225"/>
      <c r="M225"/>
      <c r="N225"/>
      <c r="O225"/>
      <c r="P225"/>
      <c r="Q225" s="63"/>
      <c r="R225" s="63"/>
    </row>
    <row r="226" spans="5:18" ht="15.75">
      <c r="E226"/>
      <c r="F226"/>
      <c r="G226"/>
      <c r="H226"/>
      <c r="I226"/>
      <c r="J226"/>
      <c r="K226"/>
      <c r="L226"/>
      <c r="M226"/>
      <c r="N226"/>
      <c r="O226"/>
      <c r="P226"/>
      <c r="Q226" s="63"/>
      <c r="R226" s="63"/>
    </row>
    <row r="227" spans="5:18" ht="15.75">
      <c r="E227"/>
      <c r="F227"/>
      <c r="G227"/>
      <c r="H227"/>
      <c r="I227"/>
      <c r="J227"/>
      <c r="K227"/>
      <c r="L227"/>
      <c r="M227"/>
      <c r="N227"/>
      <c r="O227"/>
      <c r="P227"/>
      <c r="Q227" s="63"/>
      <c r="R227" s="63"/>
    </row>
    <row r="228" spans="5:18" ht="15.75">
      <c r="E228"/>
      <c r="F228"/>
      <c r="G228"/>
      <c r="H228"/>
      <c r="I228"/>
      <c r="J228"/>
      <c r="K228"/>
      <c r="L228"/>
      <c r="M228"/>
      <c r="N228"/>
      <c r="O228"/>
      <c r="P228"/>
      <c r="Q228" s="63"/>
      <c r="R228" s="63"/>
    </row>
    <row r="229" spans="5:18" ht="15.75">
      <c r="E229"/>
      <c r="F229"/>
      <c r="G229"/>
      <c r="H229"/>
      <c r="I229"/>
      <c r="J229"/>
      <c r="K229"/>
      <c r="L229"/>
      <c r="M229"/>
      <c r="N229"/>
      <c r="O229"/>
      <c r="P229"/>
      <c r="Q229" s="63"/>
      <c r="R229" s="63"/>
    </row>
    <row r="230" spans="5:18" ht="15.75">
      <c r="E230"/>
      <c r="F230"/>
      <c r="G230"/>
      <c r="H230"/>
      <c r="I230"/>
      <c r="J230"/>
      <c r="K230"/>
      <c r="L230"/>
      <c r="M230"/>
      <c r="N230"/>
      <c r="O230"/>
      <c r="P230"/>
      <c r="Q230" s="63"/>
      <c r="R230" s="63"/>
    </row>
    <row r="231" spans="5:18" ht="15.75">
      <c r="E231"/>
      <c r="F231"/>
      <c r="G231"/>
      <c r="H231"/>
      <c r="I231"/>
      <c r="J231"/>
      <c r="K231"/>
      <c r="L231"/>
      <c r="M231"/>
      <c r="N231"/>
      <c r="O231"/>
      <c r="P231"/>
      <c r="Q231" s="63"/>
      <c r="R231" s="63"/>
    </row>
    <row r="232" spans="5:18" ht="15.75">
      <c r="E232"/>
      <c r="F232"/>
      <c r="G232"/>
      <c r="H232"/>
      <c r="I232"/>
      <c r="J232"/>
      <c r="K232"/>
      <c r="L232"/>
      <c r="M232"/>
      <c r="N232"/>
      <c r="O232"/>
      <c r="P232"/>
      <c r="Q232" s="63"/>
      <c r="R232" s="63"/>
    </row>
    <row r="233" spans="5:18" ht="15.75">
      <c r="E233"/>
      <c r="F233"/>
      <c r="G233"/>
      <c r="H233"/>
      <c r="I233"/>
      <c r="J233"/>
      <c r="K233"/>
      <c r="L233"/>
      <c r="M233"/>
      <c r="N233"/>
      <c r="O233"/>
      <c r="P233"/>
      <c r="Q233" s="63"/>
      <c r="R233" s="63"/>
    </row>
    <row r="234" spans="5:18" ht="15.75">
      <c r="E234"/>
      <c r="F234"/>
      <c r="G234"/>
      <c r="H234"/>
      <c r="I234"/>
      <c r="J234"/>
      <c r="K234"/>
      <c r="L234"/>
      <c r="M234"/>
      <c r="N234"/>
      <c r="O234"/>
      <c r="P234"/>
      <c r="Q234" s="63"/>
      <c r="R234" s="63"/>
    </row>
    <row r="235" spans="5:18" ht="15.75">
      <c r="E235"/>
      <c r="F235"/>
      <c r="G235"/>
      <c r="H235"/>
      <c r="I235"/>
      <c r="J235"/>
      <c r="K235"/>
      <c r="L235"/>
      <c r="M235"/>
      <c r="N235"/>
      <c r="O235"/>
      <c r="P235"/>
      <c r="Q235" s="63"/>
      <c r="R235" s="63"/>
    </row>
    <row r="236" spans="5:18" ht="15.75">
      <c r="E236"/>
      <c r="F236"/>
      <c r="G236"/>
      <c r="H236"/>
      <c r="I236"/>
      <c r="J236"/>
      <c r="K236"/>
      <c r="L236"/>
      <c r="M236"/>
      <c r="N236"/>
      <c r="O236"/>
      <c r="P236"/>
      <c r="Q236" s="63"/>
      <c r="R236" s="63"/>
    </row>
    <row r="237" spans="5:18" ht="15.75">
      <c r="E237"/>
      <c r="F237"/>
      <c r="G237"/>
      <c r="H237"/>
      <c r="I237"/>
      <c r="J237"/>
      <c r="K237"/>
      <c r="L237"/>
      <c r="M237"/>
      <c r="N237"/>
      <c r="O237"/>
      <c r="P237"/>
      <c r="Q237" s="63"/>
      <c r="R237" s="63"/>
    </row>
    <row r="238" spans="5:18" ht="15.75">
      <c r="E238"/>
      <c r="F238"/>
      <c r="G238"/>
      <c r="H238"/>
      <c r="I238"/>
      <c r="J238"/>
      <c r="K238"/>
      <c r="L238"/>
      <c r="M238"/>
      <c r="N238"/>
      <c r="O238"/>
      <c r="P238"/>
      <c r="Q238" s="63"/>
      <c r="R238" s="63"/>
    </row>
    <row r="239" spans="5:18" ht="15.75">
      <c r="E239"/>
      <c r="F239"/>
      <c r="G239"/>
      <c r="H239"/>
      <c r="I239"/>
      <c r="J239"/>
      <c r="K239"/>
      <c r="L239"/>
      <c r="M239"/>
      <c r="N239"/>
      <c r="O239"/>
      <c r="P239"/>
      <c r="Q239" s="63"/>
      <c r="R239" s="63"/>
    </row>
    <row r="240" spans="5:18" ht="15.75">
      <c r="E240"/>
      <c r="F240"/>
      <c r="G240"/>
      <c r="H240"/>
      <c r="I240"/>
      <c r="J240"/>
      <c r="K240"/>
      <c r="L240"/>
      <c r="M240"/>
      <c r="N240"/>
      <c r="O240"/>
      <c r="P240"/>
      <c r="Q240" s="63"/>
      <c r="R240" s="63"/>
    </row>
    <row r="241" spans="5:18" ht="15.75">
      <c r="E241"/>
      <c r="F241"/>
      <c r="G241"/>
      <c r="H241"/>
      <c r="I241"/>
      <c r="J241"/>
      <c r="K241"/>
      <c r="L241"/>
      <c r="M241"/>
      <c r="N241"/>
      <c r="O241"/>
      <c r="P241"/>
      <c r="Q241" s="63"/>
      <c r="R241" s="63"/>
    </row>
    <row r="242" spans="5:18" ht="15.75">
      <c r="E242"/>
      <c r="F242"/>
      <c r="G242"/>
      <c r="H242"/>
      <c r="I242"/>
      <c r="J242"/>
      <c r="K242"/>
      <c r="L242"/>
      <c r="M242"/>
      <c r="N242"/>
      <c r="O242"/>
      <c r="P242"/>
      <c r="Q242" s="63"/>
      <c r="R242" s="63"/>
    </row>
    <row r="243" spans="5:18" ht="15.75">
      <c r="E243"/>
      <c r="F243"/>
      <c r="G243"/>
      <c r="H243"/>
      <c r="I243"/>
      <c r="J243"/>
      <c r="K243"/>
      <c r="L243"/>
      <c r="M243"/>
      <c r="N243"/>
      <c r="O243"/>
      <c r="P243"/>
      <c r="Q243" s="63"/>
      <c r="R243" s="63"/>
    </row>
    <row r="244" spans="5:18" ht="15.75">
      <c r="E244"/>
      <c r="F244"/>
      <c r="G244"/>
      <c r="H244"/>
      <c r="I244"/>
      <c r="J244"/>
      <c r="K244"/>
      <c r="L244"/>
      <c r="M244"/>
      <c r="N244"/>
      <c r="O244"/>
      <c r="P244"/>
      <c r="Q244" s="63"/>
      <c r="R244" s="63"/>
    </row>
    <row r="245" spans="5:18" ht="15.75">
      <c r="E245"/>
      <c r="F245"/>
      <c r="G245"/>
      <c r="H245"/>
      <c r="I245"/>
      <c r="J245"/>
      <c r="K245"/>
      <c r="L245"/>
      <c r="M245"/>
      <c r="N245"/>
      <c r="O245"/>
      <c r="P245"/>
      <c r="Q245" s="63"/>
      <c r="R245" s="63"/>
    </row>
    <row r="246" spans="5:18" ht="15.75">
      <c r="E246"/>
      <c r="F246"/>
      <c r="G246"/>
      <c r="H246"/>
      <c r="I246"/>
      <c r="J246"/>
      <c r="K246"/>
      <c r="L246"/>
      <c r="M246"/>
      <c r="N246"/>
      <c r="O246"/>
      <c r="P246"/>
      <c r="Q246" s="63"/>
      <c r="R246" s="63"/>
    </row>
    <row r="247" spans="5:18" ht="15.75">
      <c r="E247"/>
      <c r="F247"/>
      <c r="G247"/>
      <c r="H247"/>
      <c r="I247"/>
      <c r="J247"/>
      <c r="K247"/>
      <c r="L247"/>
      <c r="M247"/>
      <c r="N247"/>
      <c r="O247"/>
      <c r="P247"/>
      <c r="Q247" s="63"/>
      <c r="R247" s="63"/>
    </row>
    <row r="248" spans="5:18" ht="15.75">
      <c r="E248"/>
      <c r="F248"/>
      <c r="G248"/>
      <c r="H248"/>
      <c r="I248"/>
      <c r="J248"/>
      <c r="K248"/>
      <c r="L248"/>
      <c r="M248"/>
      <c r="N248"/>
      <c r="O248"/>
      <c r="P248"/>
      <c r="Q248" s="63"/>
      <c r="R248" s="63"/>
    </row>
    <row r="249" spans="5:18" ht="15.75">
      <c r="E249"/>
      <c r="F249"/>
      <c r="G249"/>
      <c r="H249"/>
      <c r="I249"/>
      <c r="J249"/>
      <c r="K249"/>
      <c r="L249"/>
      <c r="M249"/>
      <c r="N249"/>
      <c r="O249"/>
      <c r="P249"/>
      <c r="Q249" s="63"/>
      <c r="R249" s="63"/>
    </row>
    <row r="250" spans="5:18" ht="15.75">
      <c r="E250"/>
      <c r="F250"/>
      <c r="G250"/>
      <c r="H250"/>
      <c r="I250"/>
      <c r="J250"/>
      <c r="K250"/>
      <c r="L250"/>
      <c r="M250"/>
      <c r="N250"/>
      <c r="O250"/>
      <c r="P250"/>
      <c r="Q250" s="63"/>
      <c r="R250" s="63"/>
    </row>
    <row r="251" spans="5:18" ht="15.75">
      <c r="E251"/>
      <c r="F251"/>
      <c r="G251"/>
      <c r="H251"/>
      <c r="I251"/>
      <c r="J251"/>
      <c r="K251"/>
      <c r="L251"/>
      <c r="M251"/>
      <c r="N251"/>
      <c r="O251"/>
      <c r="P251"/>
      <c r="Q251" s="63"/>
      <c r="R251" s="63"/>
    </row>
    <row r="252" spans="5:18" ht="15.75">
      <c r="E252"/>
      <c r="F252"/>
      <c r="G252"/>
      <c r="H252"/>
      <c r="I252"/>
      <c r="J252"/>
      <c r="K252"/>
      <c r="L252"/>
      <c r="M252"/>
      <c r="N252"/>
      <c r="O252"/>
      <c r="P252"/>
      <c r="Q252" s="63"/>
      <c r="R252" s="63"/>
    </row>
    <row r="253" spans="5:18" ht="15.75">
      <c r="E253"/>
      <c r="F253"/>
      <c r="G253"/>
      <c r="H253"/>
      <c r="I253"/>
      <c r="J253"/>
      <c r="K253"/>
      <c r="L253"/>
      <c r="M253"/>
      <c r="N253"/>
      <c r="O253"/>
      <c r="P253"/>
      <c r="Q253" s="63"/>
      <c r="R253" s="63"/>
    </row>
    <row r="254" spans="5:18" ht="15.75">
      <c r="E254"/>
      <c r="F254"/>
      <c r="G254"/>
      <c r="H254"/>
      <c r="I254"/>
      <c r="J254"/>
      <c r="K254"/>
      <c r="L254"/>
      <c r="M254"/>
      <c r="N254"/>
      <c r="O254"/>
      <c r="P254"/>
      <c r="Q254" s="63"/>
      <c r="R254" s="63"/>
    </row>
    <row r="255" spans="5:18" ht="15.75">
      <c r="E255"/>
      <c r="F255"/>
      <c r="G255"/>
      <c r="H255"/>
      <c r="I255"/>
      <c r="J255"/>
      <c r="K255"/>
      <c r="L255"/>
      <c r="M255"/>
      <c r="N255"/>
      <c r="O255"/>
      <c r="P255"/>
      <c r="Q255" s="63"/>
      <c r="R255" s="63"/>
    </row>
    <row r="256" spans="5:18" ht="15.75">
      <c r="E256"/>
      <c r="F256"/>
      <c r="G256"/>
      <c r="H256"/>
      <c r="I256"/>
      <c r="J256"/>
      <c r="K256"/>
      <c r="L256"/>
      <c r="M256"/>
      <c r="N256"/>
      <c r="O256"/>
      <c r="P256"/>
      <c r="Q256" s="63"/>
      <c r="R256" s="63"/>
    </row>
    <row r="257" spans="5:18" ht="15.75">
      <c r="E257"/>
      <c r="F257"/>
      <c r="G257"/>
      <c r="H257"/>
      <c r="I257"/>
      <c r="J257"/>
      <c r="K257"/>
      <c r="L257"/>
      <c r="M257"/>
      <c r="N257"/>
      <c r="O257"/>
      <c r="P257"/>
      <c r="Q257" s="63"/>
      <c r="R257" s="63"/>
    </row>
    <row r="258" spans="5:18" ht="15.75">
      <c r="E258"/>
      <c r="F258"/>
      <c r="G258"/>
      <c r="H258"/>
      <c r="I258"/>
      <c r="J258"/>
      <c r="K258"/>
      <c r="L258"/>
      <c r="M258"/>
      <c r="N258"/>
      <c r="O258"/>
      <c r="P258"/>
      <c r="Q258" s="63"/>
      <c r="R258" s="63"/>
    </row>
    <row r="259" spans="5:18" ht="15.75">
      <c r="E259"/>
      <c r="F259"/>
      <c r="G259"/>
      <c r="H259"/>
      <c r="I259"/>
      <c r="J259"/>
      <c r="K259"/>
      <c r="L259"/>
      <c r="M259"/>
      <c r="N259"/>
      <c r="O259"/>
      <c r="P259"/>
      <c r="Q259" s="63"/>
      <c r="R259" s="63"/>
    </row>
    <row r="260" spans="5:18" ht="15.75">
      <c r="E260"/>
      <c r="F260"/>
      <c r="G260"/>
      <c r="H260"/>
      <c r="I260"/>
      <c r="J260"/>
      <c r="K260"/>
      <c r="L260"/>
      <c r="M260"/>
      <c r="N260"/>
      <c r="O260"/>
      <c r="P260"/>
      <c r="Q260" s="63"/>
      <c r="R260" s="63"/>
    </row>
    <row r="261" spans="5:18" ht="15.75">
      <c r="E261"/>
      <c r="F261"/>
      <c r="G261"/>
      <c r="H261"/>
      <c r="I261"/>
      <c r="J261"/>
      <c r="K261"/>
      <c r="L261"/>
      <c r="M261"/>
      <c r="N261"/>
      <c r="O261"/>
      <c r="P261"/>
      <c r="Q261" s="63"/>
      <c r="R261" s="63"/>
    </row>
    <row r="262" spans="5:18" ht="15.75">
      <c r="E262"/>
      <c r="F262"/>
      <c r="G262"/>
      <c r="H262"/>
      <c r="I262"/>
      <c r="J262"/>
      <c r="K262"/>
      <c r="L262"/>
      <c r="M262"/>
      <c r="N262"/>
      <c r="O262"/>
      <c r="P262"/>
      <c r="Q262" s="63"/>
      <c r="R262" s="63"/>
    </row>
    <row r="263" spans="5:18" ht="15.75">
      <c r="E263"/>
      <c r="F263"/>
      <c r="G263"/>
      <c r="H263"/>
      <c r="I263"/>
      <c r="J263"/>
      <c r="K263"/>
      <c r="L263"/>
      <c r="M263"/>
      <c r="N263"/>
      <c r="O263"/>
      <c r="P263"/>
      <c r="Q263" s="63"/>
      <c r="R263" s="63"/>
    </row>
    <row r="264" spans="5:18" ht="15.75">
      <c r="E264"/>
      <c r="F264"/>
      <c r="G264"/>
      <c r="H264"/>
      <c r="I264"/>
      <c r="J264"/>
      <c r="K264"/>
      <c r="L264"/>
      <c r="M264"/>
      <c r="N264"/>
      <c r="O264"/>
      <c r="P264"/>
      <c r="Q264" s="63"/>
      <c r="R264" s="63"/>
    </row>
    <row r="265" spans="5:18" ht="15.75">
      <c r="E265"/>
      <c r="F265"/>
      <c r="G265"/>
      <c r="H265"/>
      <c r="I265"/>
      <c r="J265"/>
      <c r="K265"/>
      <c r="L265"/>
      <c r="M265"/>
      <c r="N265"/>
      <c r="O265"/>
      <c r="P265"/>
      <c r="Q265" s="63"/>
      <c r="R265" s="63"/>
    </row>
    <row r="266" spans="5:18" ht="15.75">
      <c r="E266"/>
      <c r="F266"/>
      <c r="G266"/>
      <c r="H266"/>
      <c r="I266"/>
      <c r="J266"/>
      <c r="K266"/>
      <c r="L266"/>
      <c r="M266"/>
      <c r="N266"/>
      <c r="O266"/>
      <c r="P266"/>
      <c r="Q266" s="63"/>
      <c r="R266" s="63"/>
    </row>
    <row r="267" spans="5:18" ht="15.75">
      <c r="E267"/>
      <c r="F267"/>
      <c r="G267"/>
      <c r="H267"/>
      <c r="I267"/>
      <c r="J267"/>
      <c r="K267"/>
      <c r="L267"/>
      <c r="M267"/>
      <c r="N267"/>
      <c r="O267"/>
      <c r="P267"/>
      <c r="Q267" s="63"/>
      <c r="R267" s="63"/>
    </row>
    <row r="268" spans="5:18" ht="15.75">
      <c r="E268"/>
      <c r="F268"/>
      <c r="G268"/>
      <c r="H268"/>
      <c r="I268"/>
      <c r="J268"/>
      <c r="K268"/>
      <c r="L268"/>
      <c r="M268"/>
      <c r="N268"/>
      <c r="O268"/>
      <c r="P268"/>
      <c r="Q268" s="63"/>
      <c r="R268" s="63"/>
    </row>
    <row r="269" spans="5:18" ht="15.75">
      <c r="E269"/>
      <c r="F269"/>
      <c r="G269"/>
      <c r="H269"/>
      <c r="I269"/>
      <c r="J269"/>
      <c r="K269"/>
      <c r="L269"/>
      <c r="M269"/>
      <c r="N269"/>
      <c r="O269"/>
      <c r="P269"/>
      <c r="Q269" s="63"/>
      <c r="R269" s="63"/>
    </row>
    <row r="270" spans="5:18" ht="15.75">
      <c r="E270"/>
      <c r="F270"/>
      <c r="G270"/>
      <c r="H270"/>
      <c r="I270"/>
      <c r="J270"/>
      <c r="K270"/>
      <c r="L270"/>
      <c r="M270"/>
      <c r="N270"/>
      <c r="O270"/>
      <c r="P270"/>
      <c r="Q270" s="63"/>
      <c r="R270" s="63"/>
    </row>
    <row r="271" spans="5:18" ht="15.75">
      <c r="E271"/>
      <c r="F271"/>
      <c r="G271"/>
      <c r="H271"/>
      <c r="I271"/>
      <c r="J271"/>
      <c r="K271"/>
      <c r="L271"/>
      <c r="M271"/>
      <c r="N271"/>
      <c r="O271"/>
      <c r="P271"/>
      <c r="Q271" s="63"/>
      <c r="R271" s="63"/>
    </row>
    <row r="272" spans="5:18" ht="15.75">
      <c r="E272"/>
      <c r="F272"/>
      <c r="G272"/>
      <c r="H272"/>
      <c r="I272"/>
      <c r="J272"/>
      <c r="K272"/>
      <c r="L272"/>
      <c r="M272"/>
      <c r="N272"/>
      <c r="O272"/>
      <c r="P272"/>
      <c r="Q272" s="63"/>
      <c r="R272" s="63"/>
    </row>
    <row r="273" spans="5:18" ht="15.75">
      <c r="E273"/>
      <c r="F273"/>
      <c r="G273"/>
      <c r="H273"/>
      <c r="I273"/>
      <c r="J273"/>
      <c r="K273"/>
      <c r="L273"/>
      <c r="M273"/>
      <c r="N273"/>
      <c r="O273"/>
      <c r="P273"/>
      <c r="Q273" s="63"/>
      <c r="R273" s="63"/>
    </row>
    <row r="274" spans="5:18" ht="15.75">
      <c r="E274"/>
      <c r="F274"/>
      <c r="G274"/>
      <c r="H274"/>
      <c r="I274"/>
      <c r="J274"/>
      <c r="K274"/>
      <c r="L274"/>
      <c r="M274"/>
      <c r="N274"/>
      <c r="O274"/>
      <c r="P274"/>
      <c r="Q274" s="63"/>
      <c r="R274" s="63"/>
    </row>
    <row r="275" spans="5:18" ht="15.75">
      <c r="E275"/>
      <c r="F275"/>
      <c r="G275"/>
      <c r="H275"/>
      <c r="I275"/>
      <c r="J275"/>
      <c r="K275"/>
      <c r="L275"/>
      <c r="M275"/>
      <c r="N275"/>
      <c r="O275"/>
      <c r="P275"/>
      <c r="Q275" s="63"/>
      <c r="R275" s="63"/>
    </row>
    <row r="276" spans="5:18" ht="15.75">
      <c r="E276"/>
      <c r="F276"/>
      <c r="G276"/>
      <c r="H276"/>
      <c r="I276"/>
      <c r="J276"/>
      <c r="K276"/>
      <c r="L276"/>
      <c r="M276"/>
      <c r="N276"/>
      <c r="O276"/>
      <c r="P276"/>
      <c r="Q276" s="63"/>
      <c r="R276" s="63"/>
    </row>
    <row r="277" spans="5:18" ht="15.75">
      <c r="E277"/>
      <c r="F277"/>
      <c r="G277"/>
      <c r="H277"/>
      <c r="I277"/>
      <c r="J277"/>
      <c r="K277"/>
      <c r="L277"/>
      <c r="M277"/>
      <c r="N277"/>
      <c r="O277"/>
      <c r="P277"/>
      <c r="Q277" s="63"/>
      <c r="R277" s="63"/>
    </row>
    <row r="278" spans="5:18" ht="15.75">
      <c r="E278"/>
      <c r="F278"/>
      <c r="G278"/>
      <c r="H278"/>
      <c r="I278"/>
      <c r="J278"/>
      <c r="K278"/>
      <c r="L278"/>
      <c r="M278"/>
      <c r="N278"/>
      <c r="O278"/>
      <c r="P278"/>
      <c r="Q278" s="63"/>
      <c r="R278" s="63"/>
    </row>
    <row r="279" spans="5:18" ht="15.75">
      <c r="E279"/>
      <c r="F279"/>
      <c r="G279"/>
      <c r="H279"/>
      <c r="I279"/>
      <c r="J279"/>
      <c r="K279"/>
      <c r="L279"/>
      <c r="M279"/>
      <c r="N279"/>
      <c r="O279"/>
      <c r="P279"/>
      <c r="Q279" s="63"/>
      <c r="R279" s="63"/>
    </row>
    <row r="280" spans="5:18" ht="15.75">
      <c r="E280"/>
      <c r="F280"/>
      <c r="G280"/>
      <c r="H280"/>
      <c r="I280"/>
      <c r="J280"/>
      <c r="K280"/>
      <c r="L280"/>
      <c r="M280"/>
      <c r="N280"/>
      <c r="O280"/>
      <c r="P280"/>
      <c r="Q280" s="63"/>
      <c r="R280" s="63"/>
    </row>
    <row r="281" spans="5:18" ht="15.75">
      <c r="E281"/>
      <c r="F281"/>
      <c r="G281"/>
      <c r="H281"/>
      <c r="I281"/>
      <c r="J281"/>
      <c r="K281"/>
      <c r="L281"/>
      <c r="M281"/>
      <c r="N281"/>
      <c r="O281"/>
      <c r="P281"/>
      <c r="Q281" s="63"/>
      <c r="R281" s="63"/>
    </row>
    <row r="282" spans="5:18" ht="15.75">
      <c r="E282"/>
      <c r="F282"/>
      <c r="G282"/>
      <c r="H282"/>
      <c r="I282"/>
      <c r="J282"/>
      <c r="K282"/>
      <c r="L282"/>
      <c r="M282"/>
      <c r="N282"/>
      <c r="O282"/>
      <c r="P282"/>
      <c r="Q282" s="63"/>
      <c r="R282" s="63"/>
    </row>
    <row r="283" spans="5:18" ht="15.75">
      <c r="E283"/>
      <c r="F283"/>
      <c r="G283"/>
      <c r="H283"/>
      <c r="I283"/>
      <c r="J283"/>
      <c r="K283"/>
      <c r="L283"/>
      <c r="M283"/>
      <c r="N283"/>
      <c r="O283"/>
      <c r="P283"/>
      <c r="Q283" s="63"/>
      <c r="R283" s="63"/>
    </row>
    <row r="284" spans="5:18" ht="15.75">
      <c r="E284"/>
      <c r="F284"/>
      <c r="G284"/>
      <c r="H284"/>
      <c r="I284"/>
      <c r="J284"/>
      <c r="K284"/>
      <c r="L284"/>
      <c r="M284"/>
      <c r="N284"/>
      <c r="O284"/>
      <c r="P284"/>
      <c r="Q284" s="63"/>
      <c r="R284" s="63"/>
    </row>
    <row r="285" spans="5:18" ht="15.75">
      <c r="E285"/>
      <c r="F285"/>
      <c r="G285"/>
      <c r="H285"/>
      <c r="I285"/>
      <c r="J285"/>
      <c r="K285"/>
      <c r="L285"/>
      <c r="M285"/>
      <c r="N285"/>
      <c r="O285"/>
      <c r="P285"/>
      <c r="Q285" s="63"/>
      <c r="R285" s="63"/>
    </row>
    <row r="286" spans="5:18" ht="15.75">
      <c r="E286"/>
      <c r="F286"/>
      <c r="G286"/>
      <c r="H286"/>
      <c r="I286"/>
      <c r="J286"/>
      <c r="K286"/>
      <c r="L286"/>
      <c r="M286"/>
      <c r="N286"/>
      <c r="O286"/>
      <c r="P286"/>
      <c r="Q286" s="63"/>
      <c r="R286" s="63"/>
    </row>
    <row r="287" spans="5:18" ht="15.75">
      <c r="E287"/>
      <c r="F287"/>
      <c r="G287"/>
      <c r="H287"/>
      <c r="I287"/>
      <c r="J287"/>
      <c r="K287"/>
      <c r="L287"/>
      <c r="M287"/>
      <c r="N287"/>
      <c r="O287"/>
      <c r="P287"/>
      <c r="Q287" s="63"/>
      <c r="R287" s="63"/>
    </row>
    <row r="288" spans="5:18" ht="15.75">
      <c r="E288"/>
      <c r="F288"/>
      <c r="G288"/>
      <c r="H288"/>
      <c r="I288"/>
      <c r="J288"/>
      <c r="K288"/>
      <c r="L288"/>
      <c r="M288"/>
      <c r="N288"/>
      <c r="O288"/>
      <c r="P288"/>
      <c r="Q288" s="63"/>
      <c r="R288" s="63"/>
    </row>
    <row r="289" spans="5:18" ht="15.75">
      <c r="E289"/>
      <c r="F289"/>
      <c r="G289"/>
      <c r="H289"/>
      <c r="I289"/>
      <c r="J289"/>
      <c r="K289"/>
      <c r="L289"/>
      <c r="M289"/>
      <c r="N289"/>
      <c r="O289"/>
      <c r="P289"/>
      <c r="Q289" s="63"/>
      <c r="R289" s="63"/>
    </row>
    <row r="290" spans="5:18" ht="15.75">
      <c r="E290"/>
      <c r="F290"/>
      <c r="G290"/>
      <c r="H290"/>
      <c r="I290"/>
      <c r="J290"/>
      <c r="K290"/>
      <c r="L290"/>
      <c r="M290"/>
      <c r="N290"/>
      <c r="O290"/>
      <c r="P290"/>
      <c r="Q290" s="63"/>
      <c r="R290" s="63"/>
    </row>
    <row r="291" spans="5:18" ht="15.75">
      <c r="E291"/>
      <c r="F291"/>
      <c r="G291"/>
      <c r="H291"/>
      <c r="I291"/>
      <c r="J291"/>
      <c r="K291"/>
      <c r="L291"/>
      <c r="M291"/>
      <c r="N291"/>
      <c r="O291"/>
      <c r="P291"/>
      <c r="Q291" s="63"/>
      <c r="R291" s="63"/>
    </row>
    <row r="292" spans="5:18" ht="15.75">
      <c r="E292"/>
      <c r="F292"/>
      <c r="G292"/>
      <c r="H292"/>
      <c r="I292"/>
      <c r="J292"/>
      <c r="K292"/>
      <c r="L292"/>
      <c r="M292"/>
      <c r="N292"/>
      <c r="O292"/>
      <c r="P292"/>
      <c r="Q292" s="63"/>
      <c r="R292" s="63"/>
    </row>
    <row r="293" spans="5:18" ht="15.75">
      <c r="E293"/>
      <c r="F293"/>
      <c r="G293"/>
      <c r="H293"/>
      <c r="I293"/>
      <c r="J293"/>
      <c r="K293"/>
      <c r="L293"/>
      <c r="M293"/>
      <c r="N293"/>
      <c r="O293"/>
      <c r="P293"/>
      <c r="Q293" s="63"/>
      <c r="R293" s="63"/>
    </row>
    <row r="294" spans="5:18" ht="15.75">
      <c r="E294"/>
      <c r="F294"/>
      <c r="G294"/>
      <c r="H294"/>
      <c r="I294"/>
      <c r="J294"/>
      <c r="K294"/>
      <c r="L294"/>
      <c r="M294"/>
      <c r="N294"/>
      <c r="O294"/>
      <c r="P294"/>
      <c r="Q294" s="63"/>
      <c r="R294" s="63"/>
    </row>
    <row r="295" spans="5:18" ht="15.75">
      <c r="E295"/>
      <c r="F295"/>
      <c r="G295"/>
      <c r="H295"/>
      <c r="I295"/>
      <c r="J295"/>
      <c r="K295"/>
      <c r="L295"/>
      <c r="M295"/>
      <c r="N295"/>
      <c r="O295"/>
      <c r="P295"/>
      <c r="Q295" s="63"/>
      <c r="R295" s="63"/>
    </row>
    <row r="296" spans="5:18" ht="15.75">
      <c r="E296"/>
      <c r="F296"/>
      <c r="G296"/>
      <c r="H296"/>
      <c r="I296"/>
      <c r="J296"/>
      <c r="K296"/>
      <c r="L296"/>
      <c r="M296"/>
      <c r="N296"/>
      <c r="O296"/>
      <c r="P296"/>
      <c r="Q296" s="63"/>
      <c r="R296" s="63"/>
    </row>
    <row r="297" spans="5:18" ht="15.75">
      <c r="E297"/>
      <c r="F297"/>
      <c r="G297"/>
      <c r="H297"/>
      <c r="I297"/>
      <c r="J297"/>
      <c r="K297"/>
      <c r="L297"/>
      <c r="M297"/>
      <c r="N297"/>
      <c r="O297"/>
      <c r="P297"/>
      <c r="Q297" s="63"/>
      <c r="R297" s="63"/>
    </row>
    <row r="298" spans="5:18" ht="15.75">
      <c r="E298"/>
      <c r="F298"/>
      <c r="G298"/>
      <c r="H298"/>
      <c r="I298"/>
      <c r="J298"/>
      <c r="K298"/>
      <c r="L298"/>
      <c r="M298"/>
      <c r="N298"/>
      <c r="O298"/>
      <c r="P298"/>
      <c r="Q298" s="63"/>
      <c r="R298" s="63"/>
    </row>
    <row r="299" spans="5:18" ht="15.75">
      <c r="E299"/>
      <c r="F299"/>
      <c r="G299"/>
      <c r="H299"/>
      <c r="I299"/>
      <c r="J299"/>
      <c r="K299"/>
      <c r="L299"/>
      <c r="M299"/>
      <c r="N299"/>
      <c r="O299"/>
      <c r="P299"/>
      <c r="Q299" s="63"/>
      <c r="R299" s="63"/>
    </row>
    <row r="300" spans="5:18" ht="15.75">
      <c r="E300"/>
      <c r="F300"/>
      <c r="G300"/>
      <c r="H300"/>
      <c r="I300"/>
      <c r="J300"/>
      <c r="K300"/>
      <c r="L300"/>
      <c r="M300"/>
      <c r="N300"/>
      <c r="O300"/>
      <c r="P300"/>
      <c r="Q300" s="63"/>
      <c r="R300" s="63"/>
    </row>
    <row r="301" spans="5:18" ht="15.75">
      <c r="E301"/>
      <c r="F301"/>
      <c r="G301"/>
      <c r="H301"/>
      <c r="I301"/>
      <c r="J301"/>
      <c r="K301"/>
      <c r="L301"/>
      <c r="M301"/>
      <c r="N301"/>
      <c r="O301"/>
      <c r="P301"/>
      <c r="Q301" s="63"/>
      <c r="R301" s="63"/>
    </row>
    <row r="302" spans="5:18" ht="15.75">
      <c r="E302"/>
      <c r="F302"/>
      <c r="G302"/>
      <c r="H302"/>
      <c r="I302"/>
      <c r="J302"/>
      <c r="K302"/>
      <c r="L302"/>
      <c r="M302"/>
      <c r="N302"/>
      <c r="O302"/>
      <c r="P302"/>
      <c r="Q302" s="63"/>
      <c r="R302" s="63"/>
    </row>
    <row r="303" spans="5:18" ht="15.75">
      <c r="E303"/>
      <c r="F303"/>
      <c r="G303"/>
      <c r="H303"/>
      <c r="I303"/>
      <c r="J303"/>
      <c r="K303"/>
      <c r="L303"/>
      <c r="M303"/>
      <c r="N303"/>
      <c r="O303"/>
      <c r="P303"/>
      <c r="Q303" s="63"/>
      <c r="R303" s="63"/>
    </row>
    <row r="304" spans="5:18" ht="15.75">
      <c r="E304"/>
      <c r="F304"/>
      <c r="G304"/>
      <c r="H304"/>
      <c r="I304"/>
      <c r="J304"/>
      <c r="K304"/>
      <c r="L304"/>
      <c r="M304"/>
      <c r="N304"/>
      <c r="O304"/>
      <c r="P304"/>
      <c r="Q304" s="63"/>
      <c r="R304" s="63"/>
    </row>
    <row r="305" spans="5:18" ht="15.75">
      <c r="E305"/>
      <c r="F305"/>
      <c r="G305"/>
      <c r="H305"/>
      <c r="I305"/>
      <c r="J305"/>
      <c r="K305"/>
      <c r="L305"/>
      <c r="M305"/>
      <c r="N305"/>
      <c r="O305"/>
      <c r="P305"/>
      <c r="Q305" s="63"/>
      <c r="R305" s="63"/>
    </row>
    <row r="306" spans="5:18" ht="15.75">
      <c r="E306"/>
      <c r="F306"/>
      <c r="G306"/>
      <c r="H306"/>
      <c r="I306"/>
      <c r="J306"/>
      <c r="K306"/>
      <c r="L306"/>
      <c r="M306"/>
      <c r="N306"/>
      <c r="O306"/>
      <c r="P306"/>
      <c r="Q306" s="63"/>
      <c r="R306" s="63"/>
    </row>
    <row r="307" spans="5:18" ht="15.75">
      <c r="E307"/>
      <c r="F307"/>
      <c r="G307"/>
      <c r="H307"/>
      <c r="I307"/>
      <c r="J307"/>
      <c r="K307"/>
      <c r="L307"/>
      <c r="M307"/>
      <c r="N307"/>
      <c r="O307"/>
      <c r="P307"/>
      <c r="Q307" s="63"/>
      <c r="R307" s="63"/>
    </row>
    <row r="308" spans="5:18" ht="15.75">
      <c r="E308"/>
      <c r="F308"/>
      <c r="G308"/>
      <c r="H308"/>
      <c r="I308"/>
      <c r="J308"/>
      <c r="K308"/>
      <c r="L308"/>
      <c r="M308"/>
      <c r="N308"/>
      <c r="O308"/>
      <c r="P308"/>
      <c r="Q308" s="63"/>
      <c r="R308" s="63"/>
    </row>
    <row r="309" spans="5:18" ht="15.75">
      <c r="E309"/>
      <c r="F309"/>
      <c r="G309"/>
      <c r="H309"/>
      <c r="I309"/>
      <c r="J309"/>
      <c r="K309"/>
      <c r="L309"/>
      <c r="M309"/>
      <c r="N309"/>
      <c r="O309"/>
      <c r="P309"/>
      <c r="Q309" s="63"/>
      <c r="R309" s="63"/>
    </row>
    <row r="310" spans="5:18" ht="15.75">
      <c r="E310"/>
      <c r="F310"/>
      <c r="G310"/>
      <c r="H310"/>
      <c r="I310"/>
      <c r="J310"/>
      <c r="K310"/>
      <c r="L310"/>
      <c r="M310"/>
      <c r="N310"/>
      <c r="O310"/>
      <c r="P310"/>
      <c r="Q310" s="63"/>
      <c r="R310" s="63"/>
    </row>
    <row r="311" spans="5:18" ht="15.75">
      <c r="E311"/>
      <c r="F311"/>
      <c r="G311"/>
      <c r="H311"/>
      <c r="I311"/>
      <c r="J311"/>
      <c r="K311"/>
      <c r="L311"/>
      <c r="M311"/>
      <c r="N311"/>
      <c r="O311"/>
      <c r="P311"/>
      <c r="Q311" s="63"/>
      <c r="R311" s="63"/>
    </row>
    <row r="312" spans="5:18" ht="15.75">
      <c r="E312"/>
      <c r="F312"/>
      <c r="G312"/>
      <c r="H312"/>
      <c r="I312"/>
      <c r="J312"/>
      <c r="K312"/>
      <c r="L312"/>
      <c r="M312"/>
      <c r="N312"/>
      <c r="O312"/>
      <c r="P312"/>
      <c r="Q312" s="63"/>
      <c r="R312" s="63"/>
    </row>
    <row r="313" spans="5:18" ht="15.75">
      <c r="E313"/>
      <c r="F313"/>
      <c r="G313"/>
      <c r="H313"/>
      <c r="I313"/>
      <c r="J313"/>
      <c r="K313"/>
      <c r="L313"/>
      <c r="M313"/>
      <c r="N313"/>
      <c r="O313"/>
      <c r="P313"/>
      <c r="Q313" s="63"/>
      <c r="R313" s="63"/>
    </row>
    <row r="314" spans="5:18" ht="15.75">
      <c r="E314"/>
      <c r="F314"/>
      <c r="G314"/>
      <c r="H314"/>
      <c r="I314"/>
      <c r="J314"/>
      <c r="K314"/>
      <c r="L314"/>
      <c r="M314"/>
      <c r="N314"/>
      <c r="O314"/>
      <c r="P314"/>
      <c r="Q314" s="63"/>
      <c r="R314" s="63"/>
    </row>
    <row r="315" spans="5:18" ht="15.75">
      <c r="E315"/>
      <c r="F315"/>
      <c r="G315"/>
      <c r="H315"/>
      <c r="I315"/>
      <c r="J315"/>
      <c r="K315"/>
      <c r="L315"/>
      <c r="M315"/>
      <c r="N315"/>
      <c r="O315"/>
      <c r="P315"/>
      <c r="Q315" s="63"/>
      <c r="R315" s="63"/>
    </row>
    <row r="316" spans="5:18" ht="15.75">
      <c r="E316"/>
      <c r="F316"/>
      <c r="G316"/>
      <c r="H316"/>
      <c r="I316"/>
      <c r="J316"/>
      <c r="K316"/>
      <c r="L316"/>
      <c r="M316"/>
      <c r="N316"/>
      <c r="O316"/>
      <c r="P316"/>
      <c r="Q316" s="63"/>
      <c r="R316" s="63"/>
    </row>
    <row r="317" spans="5:18" ht="15.75">
      <c r="E317"/>
      <c r="F317"/>
      <c r="G317"/>
      <c r="H317"/>
      <c r="I317"/>
      <c r="J317"/>
      <c r="K317"/>
      <c r="L317"/>
      <c r="M317"/>
      <c r="N317"/>
      <c r="O317"/>
      <c r="P317"/>
      <c r="Q317" s="63"/>
      <c r="R317" s="63"/>
    </row>
    <row r="318" spans="5:18" ht="15.75">
      <c r="E318"/>
      <c r="F318"/>
      <c r="G318"/>
      <c r="H318"/>
      <c r="I318"/>
      <c r="J318"/>
      <c r="K318"/>
      <c r="L318"/>
      <c r="M318"/>
      <c r="N318"/>
      <c r="O318"/>
      <c r="P318"/>
      <c r="Q318" s="63"/>
      <c r="R318" s="63"/>
    </row>
    <row r="319" spans="5:18" ht="15.75">
      <c r="E319"/>
      <c r="F319"/>
      <c r="G319"/>
      <c r="H319"/>
      <c r="I319"/>
      <c r="J319"/>
      <c r="K319"/>
      <c r="L319"/>
      <c r="M319"/>
      <c r="N319"/>
      <c r="O319"/>
      <c r="P319"/>
      <c r="Q319" s="63"/>
      <c r="R319" s="63"/>
    </row>
    <row r="320" spans="5:18" ht="15.75">
      <c r="E320"/>
      <c r="F320"/>
      <c r="G320"/>
      <c r="H320"/>
      <c r="I320"/>
      <c r="J320"/>
      <c r="K320"/>
      <c r="L320"/>
      <c r="M320"/>
      <c r="N320"/>
      <c r="O320"/>
      <c r="P320"/>
      <c r="Q320" s="63"/>
      <c r="R320" s="63"/>
    </row>
    <row r="321" spans="5:18" ht="15.75">
      <c r="E321"/>
      <c r="F321"/>
      <c r="G321"/>
      <c r="H321"/>
      <c r="I321"/>
      <c r="J321"/>
      <c r="K321"/>
      <c r="L321"/>
      <c r="M321"/>
      <c r="N321"/>
      <c r="O321"/>
      <c r="P321"/>
      <c r="Q321" s="63"/>
      <c r="R321" s="63"/>
    </row>
    <row r="322" spans="5:18" ht="15.75">
      <c r="E322"/>
      <c r="F322"/>
      <c r="G322"/>
      <c r="H322"/>
      <c r="I322"/>
      <c r="J322"/>
      <c r="K322"/>
      <c r="L322"/>
      <c r="M322"/>
      <c r="N322"/>
      <c r="O322"/>
      <c r="P322"/>
      <c r="Q322" s="63"/>
      <c r="R322" s="63"/>
    </row>
    <row r="323" spans="5:18" ht="15.75">
      <c r="E323"/>
      <c r="F323"/>
      <c r="G323"/>
      <c r="H323"/>
      <c r="I323"/>
      <c r="J323"/>
      <c r="K323"/>
      <c r="L323"/>
      <c r="M323"/>
      <c r="N323"/>
      <c r="O323"/>
      <c r="P323"/>
      <c r="Q323" s="63"/>
      <c r="R323" s="63"/>
    </row>
    <row r="324" spans="5:18" ht="15.75">
      <c r="E324"/>
      <c r="F324"/>
      <c r="G324"/>
      <c r="H324"/>
      <c r="I324"/>
      <c r="J324"/>
      <c r="K324"/>
      <c r="L324"/>
      <c r="M324"/>
      <c r="N324"/>
      <c r="O324"/>
      <c r="P324"/>
      <c r="Q324" s="63"/>
      <c r="R324" s="63"/>
    </row>
    <row r="325" spans="5:18" ht="15.75">
      <c r="E325"/>
      <c r="F325"/>
      <c r="G325"/>
      <c r="H325"/>
      <c r="I325"/>
      <c r="J325"/>
      <c r="K325"/>
      <c r="L325"/>
      <c r="M325"/>
      <c r="N325"/>
      <c r="O325"/>
      <c r="P325"/>
      <c r="Q325" s="63"/>
      <c r="R325" s="63"/>
    </row>
    <row r="326" spans="5:18" ht="15.75">
      <c r="E326"/>
      <c r="F326"/>
      <c r="G326"/>
      <c r="H326"/>
      <c r="I326"/>
      <c r="J326"/>
      <c r="K326"/>
      <c r="L326"/>
      <c r="M326"/>
      <c r="N326"/>
      <c r="O326"/>
      <c r="P326"/>
      <c r="Q326" s="63"/>
      <c r="R326" s="63"/>
    </row>
    <row r="327" spans="5:18" ht="15.75">
      <c r="E327"/>
      <c r="F327"/>
      <c r="G327"/>
      <c r="H327"/>
      <c r="I327"/>
      <c r="J327"/>
      <c r="K327"/>
      <c r="L327"/>
      <c r="M327"/>
      <c r="N327"/>
      <c r="O327"/>
      <c r="P327"/>
      <c r="Q327" s="63"/>
      <c r="R327" s="63"/>
    </row>
    <row r="328" spans="5:18" ht="15.75">
      <c r="E328"/>
      <c r="F328"/>
      <c r="G328"/>
      <c r="H328"/>
      <c r="I328"/>
      <c r="J328"/>
      <c r="K328"/>
      <c r="L328"/>
      <c r="M328"/>
      <c r="N328"/>
      <c r="O328"/>
      <c r="P328"/>
      <c r="Q328" s="63"/>
      <c r="R328" s="63"/>
    </row>
    <row r="329" spans="5:18" ht="15.75">
      <c r="E329"/>
      <c r="F329"/>
      <c r="G329"/>
      <c r="H329"/>
      <c r="I329"/>
      <c r="J329"/>
      <c r="K329"/>
      <c r="L329"/>
      <c r="M329"/>
      <c r="N329"/>
      <c r="O329"/>
      <c r="P329"/>
      <c r="Q329" s="63"/>
      <c r="R329" s="63"/>
    </row>
    <row r="330" spans="5:18" ht="15.75">
      <c r="E330"/>
      <c r="F330"/>
      <c r="G330"/>
      <c r="H330"/>
      <c r="I330"/>
      <c r="J330"/>
      <c r="K330"/>
      <c r="L330"/>
      <c r="M330"/>
      <c r="N330"/>
      <c r="O330"/>
      <c r="P330"/>
      <c r="Q330" s="63"/>
      <c r="R330" s="63"/>
    </row>
    <row r="331" spans="5:18" ht="15.75">
      <c r="E331"/>
      <c r="F331"/>
      <c r="G331"/>
      <c r="H331"/>
      <c r="I331"/>
      <c r="J331"/>
      <c r="K331"/>
      <c r="L331"/>
      <c r="M331"/>
      <c r="N331"/>
      <c r="O331"/>
      <c r="P331"/>
      <c r="Q331" s="63"/>
      <c r="R331" s="63"/>
    </row>
    <row r="332" spans="5:18" ht="15.75">
      <c r="E332"/>
      <c r="F332"/>
      <c r="G332"/>
      <c r="H332"/>
      <c r="I332"/>
      <c r="J332"/>
      <c r="K332"/>
      <c r="L332"/>
      <c r="M332"/>
      <c r="N332"/>
      <c r="O332"/>
      <c r="P332"/>
      <c r="Q332" s="63"/>
      <c r="R332" s="63"/>
    </row>
    <row r="333" spans="5:18" ht="15.75">
      <c r="E333"/>
      <c r="F333"/>
      <c r="G333"/>
      <c r="H333"/>
      <c r="I333"/>
      <c r="J333"/>
      <c r="K333"/>
      <c r="L333"/>
      <c r="M333"/>
      <c r="N333"/>
      <c r="O333"/>
      <c r="P333"/>
      <c r="Q333" s="63"/>
      <c r="R333" s="63"/>
    </row>
  </sheetData>
  <sheetProtection/>
  <mergeCells count="28">
    <mergeCell ref="R8:R12"/>
    <mergeCell ref="A13:B13"/>
    <mergeCell ref="A7:B12"/>
    <mergeCell ref="A2:R2"/>
    <mergeCell ref="A3:R3"/>
    <mergeCell ref="A4:R4"/>
    <mergeCell ref="N8:Q9"/>
    <mergeCell ref="J8:J12"/>
    <mergeCell ref="K7:R7"/>
    <mergeCell ref="K11:K12"/>
    <mergeCell ref="C7:J7"/>
    <mergeCell ref="A14:B14"/>
    <mergeCell ref="D11:E11"/>
    <mergeCell ref="A36:B36"/>
    <mergeCell ref="F8:I9"/>
    <mergeCell ref="F10:F12"/>
    <mergeCell ref="L11:M11"/>
    <mergeCell ref="C8:E10"/>
    <mergeCell ref="I11:I12"/>
    <mergeCell ref="A15:B15"/>
    <mergeCell ref="C11:C12"/>
    <mergeCell ref="N10:N12"/>
    <mergeCell ref="O10:Q10"/>
    <mergeCell ref="O11:P11"/>
    <mergeCell ref="Q11:Q12"/>
    <mergeCell ref="G11:H11"/>
    <mergeCell ref="K8:M10"/>
    <mergeCell ref="G10:I10"/>
  </mergeCells>
  <printOptions/>
  <pageMargins left="0.5" right="0.25" top="0.75" bottom="0.5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31"/>
  <sheetViews>
    <sheetView zoomScalePageLayoutView="0" workbookViewId="0" topLeftCell="A19">
      <selection activeCell="C15" sqref="C15:H15"/>
    </sheetView>
  </sheetViews>
  <sheetFormatPr defaultColWidth="9.140625" defaultRowHeight="12.75"/>
  <cols>
    <col min="1" max="1" width="3.28125" style="3" customWidth="1"/>
    <col min="2" max="2" width="23.28125" style="1" customWidth="1"/>
    <col min="3" max="3" width="8.57421875" style="2" customWidth="1"/>
    <col min="4" max="4" width="10.00390625" style="3" customWidth="1"/>
    <col min="5" max="5" width="9.57421875" style="3" customWidth="1"/>
    <col min="6" max="6" width="8.8515625" style="2" customWidth="1"/>
    <col min="7" max="8" width="13.28125" style="6" customWidth="1"/>
    <col min="9" max="16384" width="9.140625" style="6" customWidth="1"/>
  </cols>
  <sheetData>
    <row r="1" spans="1:6" ht="19.5" customHeight="1">
      <c r="A1" s="78" t="s">
        <v>7</v>
      </c>
      <c r="B1" s="78"/>
      <c r="C1"/>
      <c r="D1"/>
      <c r="E1"/>
      <c r="F1"/>
    </row>
    <row r="2" spans="1:50" s="24" customFormat="1" ht="18.75">
      <c r="A2" s="311" t="s">
        <v>160</v>
      </c>
      <c r="B2" s="311"/>
      <c r="C2" s="311"/>
      <c r="D2" s="311"/>
      <c r="E2" s="311"/>
      <c r="F2" s="311"/>
      <c r="G2" s="311"/>
      <c r="H2" s="31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</row>
    <row r="3" spans="1:50" s="24" customFormat="1" ht="41.25" customHeight="1">
      <c r="A3" s="348" t="s">
        <v>157</v>
      </c>
      <c r="B3" s="348"/>
      <c r="C3" s="348"/>
      <c r="D3" s="348"/>
      <c r="E3" s="348"/>
      <c r="F3" s="348"/>
      <c r="G3" s="348"/>
      <c r="H3" s="348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</row>
    <row r="4" spans="1:50" s="24" customFormat="1" ht="21.75" customHeight="1">
      <c r="A4" s="311" t="s">
        <v>170</v>
      </c>
      <c r="B4" s="323"/>
      <c r="C4" s="323"/>
      <c r="D4" s="323"/>
      <c r="E4" s="323"/>
      <c r="F4" s="323"/>
      <c r="G4" s="323"/>
      <c r="H4" s="323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</row>
    <row r="5" spans="1:6" ht="15.75">
      <c r="A5" s="25"/>
      <c r="B5" s="61"/>
      <c r="C5"/>
      <c r="D5"/>
      <c r="E5"/>
      <c r="F5"/>
    </row>
    <row r="6" spans="1:8" ht="15.75" customHeight="1">
      <c r="A6" s="4"/>
      <c r="B6" s="62"/>
      <c r="C6"/>
      <c r="D6"/>
      <c r="F6"/>
      <c r="G6" s="66" t="s">
        <v>45</v>
      </c>
      <c r="H6" s="7"/>
    </row>
    <row r="7" spans="1:8" ht="40.5" customHeight="1">
      <c r="A7" s="329"/>
      <c r="B7" s="330"/>
      <c r="C7" s="359" t="s">
        <v>141</v>
      </c>
      <c r="D7" s="359"/>
      <c r="E7" s="359"/>
      <c r="F7" s="356" t="s">
        <v>136</v>
      </c>
      <c r="G7" s="357"/>
      <c r="H7" s="358"/>
    </row>
    <row r="8" spans="1:8" ht="12.75" customHeight="1">
      <c r="A8" s="331"/>
      <c r="B8" s="332"/>
      <c r="C8" s="354" t="s">
        <v>9</v>
      </c>
      <c r="D8" s="354" t="s">
        <v>44</v>
      </c>
      <c r="E8" s="354"/>
      <c r="F8" s="354" t="s">
        <v>9</v>
      </c>
      <c r="G8" s="320" t="s">
        <v>44</v>
      </c>
      <c r="H8" s="320"/>
    </row>
    <row r="9" spans="1:8" ht="12.75" customHeight="1">
      <c r="A9" s="331"/>
      <c r="B9" s="332"/>
      <c r="C9" s="354"/>
      <c r="D9" s="354"/>
      <c r="E9" s="354"/>
      <c r="F9" s="354"/>
      <c r="G9" s="320"/>
      <c r="H9" s="320"/>
    </row>
    <row r="10" spans="1:8" ht="12.75" customHeight="1">
      <c r="A10" s="331"/>
      <c r="B10" s="332"/>
      <c r="C10" s="354"/>
      <c r="D10" s="354"/>
      <c r="E10" s="354"/>
      <c r="F10" s="354"/>
      <c r="G10" s="320"/>
      <c r="H10" s="320"/>
    </row>
    <row r="11" spans="1:8" ht="31.5" customHeight="1">
      <c r="A11" s="331"/>
      <c r="B11" s="332"/>
      <c r="C11" s="354"/>
      <c r="D11" s="354" t="s">
        <v>137</v>
      </c>
      <c r="E11" s="354" t="s">
        <v>138</v>
      </c>
      <c r="F11" s="354"/>
      <c r="G11" s="320" t="s">
        <v>139</v>
      </c>
      <c r="H11" s="355" t="s">
        <v>140</v>
      </c>
    </row>
    <row r="12" spans="1:8" ht="12.75">
      <c r="A12" s="333"/>
      <c r="B12" s="334"/>
      <c r="C12" s="354"/>
      <c r="D12" s="354"/>
      <c r="E12" s="354"/>
      <c r="F12" s="354"/>
      <c r="G12" s="320"/>
      <c r="H12" s="355"/>
    </row>
    <row r="13" spans="1:8" ht="12.75">
      <c r="A13" s="320" t="s">
        <v>40</v>
      </c>
      <c r="B13" s="320"/>
      <c r="C13" s="69">
        <v>1</v>
      </c>
      <c r="D13" s="69">
        <v>2</v>
      </c>
      <c r="E13" s="69">
        <v>3</v>
      </c>
      <c r="F13" s="69">
        <v>4</v>
      </c>
      <c r="G13" s="69">
        <v>5</v>
      </c>
      <c r="H13" s="69">
        <v>6</v>
      </c>
    </row>
    <row r="14" spans="1:8" ht="15.75">
      <c r="A14" s="345" t="s">
        <v>97</v>
      </c>
      <c r="B14" s="345"/>
      <c r="C14" s="219">
        <f aca="true" t="shared" si="0" ref="C14:H14">C15+C36</f>
        <v>43885</v>
      </c>
      <c r="D14" s="219">
        <f t="shared" si="0"/>
        <v>36804</v>
      </c>
      <c r="E14" s="219">
        <f t="shared" si="0"/>
        <v>7081</v>
      </c>
      <c r="F14" s="219">
        <f t="shared" si="0"/>
        <v>3070</v>
      </c>
      <c r="G14" s="219">
        <f t="shared" si="0"/>
        <v>2235</v>
      </c>
      <c r="H14" s="219">
        <f t="shared" si="0"/>
        <v>835</v>
      </c>
    </row>
    <row r="15" spans="1:8" ht="37.5" customHeight="1">
      <c r="A15" s="324" t="s">
        <v>87</v>
      </c>
      <c r="B15" s="325"/>
      <c r="C15" s="220">
        <f aca="true" t="shared" si="1" ref="C15:H15">SUM(C16:C35)</f>
        <v>6803</v>
      </c>
      <c r="D15" s="220">
        <f t="shared" si="1"/>
        <v>5329</v>
      </c>
      <c r="E15" s="220">
        <f t="shared" si="1"/>
        <v>1474</v>
      </c>
      <c r="F15" s="220">
        <f t="shared" si="1"/>
        <v>763</v>
      </c>
      <c r="G15" s="220">
        <f t="shared" si="1"/>
        <v>478</v>
      </c>
      <c r="H15" s="220">
        <f t="shared" si="1"/>
        <v>285</v>
      </c>
    </row>
    <row r="16" spans="1:8" ht="15.75">
      <c r="A16" s="99">
        <v>1</v>
      </c>
      <c r="B16" s="230" t="s">
        <v>239</v>
      </c>
      <c r="C16" s="231">
        <f aca="true" t="shared" si="2" ref="C16:C34">D16+E16</f>
        <v>52</v>
      </c>
      <c r="D16" s="232">
        <v>41</v>
      </c>
      <c r="E16" s="232">
        <v>11</v>
      </c>
      <c r="F16" s="231">
        <f aca="true" t="shared" si="3" ref="F16:F34">G16+H16</f>
        <v>11</v>
      </c>
      <c r="G16" s="233">
        <v>11</v>
      </c>
      <c r="H16" s="234">
        <v>0</v>
      </c>
    </row>
    <row r="17" spans="1:8" ht="15.75">
      <c r="A17" s="99">
        <v>2</v>
      </c>
      <c r="B17" s="138" t="s">
        <v>202</v>
      </c>
      <c r="C17" s="231">
        <f t="shared" si="2"/>
        <v>1449</v>
      </c>
      <c r="D17" s="232">
        <v>1253</v>
      </c>
      <c r="E17" s="232">
        <v>196</v>
      </c>
      <c r="F17" s="231">
        <f t="shared" si="3"/>
        <v>0</v>
      </c>
      <c r="G17" s="232">
        <v>0</v>
      </c>
      <c r="H17" s="232">
        <v>0</v>
      </c>
    </row>
    <row r="18" spans="1:8" ht="15.75">
      <c r="A18" s="99">
        <v>3</v>
      </c>
      <c r="B18" s="138" t="s">
        <v>203</v>
      </c>
      <c r="C18" s="231"/>
      <c r="D18" s="232"/>
      <c r="E18" s="232"/>
      <c r="F18" s="231"/>
      <c r="G18" s="232"/>
      <c r="H18" s="232"/>
    </row>
    <row r="19" spans="1:8" ht="15.75">
      <c r="A19" s="99">
        <v>4</v>
      </c>
      <c r="B19" s="138" t="s">
        <v>204</v>
      </c>
      <c r="C19" s="231">
        <f t="shared" si="2"/>
        <v>49</v>
      </c>
      <c r="D19" s="109">
        <v>34</v>
      </c>
      <c r="E19" s="109">
        <v>15</v>
      </c>
      <c r="F19" s="231">
        <f t="shared" si="3"/>
        <v>0</v>
      </c>
      <c r="G19" s="232">
        <v>0</v>
      </c>
      <c r="H19" s="232">
        <v>0</v>
      </c>
    </row>
    <row r="20" spans="1:8" ht="15.75">
      <c r="A20" s="99">
        <v>5</v>
      </c>
      <c r="B20" s="138" t="s">
        <v>205</v>
      </c>
      <c r="C20" s="231"/>
      <c r="D20" s="232"/>
      <c r="E20" s="232"/>
      <c r="F20" s="231"/>
      <c r="G20" s="232"/>
      <c r="H20" s="232"/>
    </row>
    <row r="21" spans="1:8" ht="15.75">
      <c r="A21" s="99">
        <v>6</v>
      </c>
      <c r="B21" s="138" t="s">
        <v>206</v>
      </c>
      <c r="C21" s="231"/>
      <c r="D21" s="232"/>
      <c r="E21" s="232"/>
      <c r="F21" s="231"/>
      <c r="G21" s="232"/>
      <c r="H21" s="232"/>
    </row>
    <row r="22" spans="1:8" ht="15.75">
      <c r="A22" s="99">
        <v>7</v>
      </c>
      <c r="B22" s="138" t="s">
        <v>207</v>
      </c>
      <c r="C22" s="231">
        <f t="shared" si="2"/>
        <v>152</v>
      </c>
      <c r="D22" s="232">
        <v>152</v>
      </c>
      <c r="E22" s="232">
        <v>0</v>
      </c>
      <c r="F22" s="231">
        <f t="shared" si="3"/>
        <v>0</v>
      </c>
      <c r="G22" s="232">
        <v>0</v>
      </c>
      <c r="H22" s="232">
        <v>0</v>
      </c>
    </row>
    <row r="23" spans="1:8" ht="15.75">
      <c r="A23" s="99">
        <v>8</v>
      </c>
      <c r="B23" s="138" t="s">
        <v>208</v>
      </c>
      <c r="C23" s="231"/>
      <c r="D23" s="232"/>
      <c r="E23" s="232"/>
      <c r="F23" s="231"/>
      <c r="G23" s="232"/>
      <c r="H23" s="232"/>
    </row>
    <row r="24" spans="1:8" ht="15.75">
      <c r="A24" s="99">
        <v>9</v>
      </c>
      <c r="B24" s="138" t="s">
        <v>209</v>
      </c>
      <c r="C24" s="231">
        <f t="shared" si="2"/>
        <v>22</v>
      </c>
      <c r="D24" s="232">
        <v>21</v>
      </c>
      <c r="E24" s="232">
        <v>1</v>
      </c>
      <c r="F24" s="231">
        <f t="shared" si="3"/>
        <v>19</v>
      </c>
      <c r="G24" s="232">
        <v>3</v>
      </c>
      <c r="H24" s="232">
        <v>16</v>
      </c>
    </row>
    <row r="25" spans="1:8" ht="15.75">
      <c r="A25" s="99">
        <v>10</v>
      </c>
      <c r="B25" s="138" t="s">
        <v>210</v>
      </c>
      <c r="C25" s="231">
        <f t="shared" si="2"/>
        <v>63</v>
      </c>
      <c r="D25" s="232">
        <v>60</v>
      </c>
      <c r="E25" s="232">
        <v>3</v>
      </c>
      <c r="F25" s="231">
        <f t="shared" si="3"/>
        <v>13</v>
      </c>
      <c r="G25" s="232">
        <v>10</v>
      </c>
      <c r="H25" s="232">
        <v>3</v>
      </c>
    </row>
    <row r="26" spans="1:8" ht="15.75">
      <c r="A26" s="99">
        <v>11</v>
      </c>
      <c r="B26" s="235" t="s">
        <v>241</v>
      </c>
      <c r="C26" s="231">
        <f t="shared" si="2"/>
        <v>2730</v>
      </c>
      <c r="D26" s="232">
        <v>2554</v>
      </c>
      <c r="E26" s="232">
        <v>176</v>
      </c>
      <c r="F26" s="231">
        <f t="shared" si="3"/>
        <v>216</v>
      </c>
      <c r="G26" s="236">
        <v>16</v>
      </c>
      <c r="H26" s="237">
        <v>200</v>
      </c>
    </row>
    <row r="27" spans="1:8" ht="15.75">
      <c r="A27" s="99">
        <v>12</v>
      </c>
      <c r="B27" s="138" t="s">
        <v>192</v>
      </c>
      <c r="C27" s="231">
        <f t="shared" si="2"/>
        <v>158</v>
      </c>
      <c r="D27" s="232">
        <v>93</v>
      </c>
      <c r="E27" s="232">
        <v>65</v>
      </c>
      <c r="F27" s="231">
        <f t="shared" si="3"/>
        <v>79</v>
      </c>
      <c r="G27" s="232">
        <v>14</v>
      </c>
      <c r="H27" s="232">
        <v>65</v>
      </c>
    </row>
    <row r="28" spans="1:8" ht="15.75">
      <c r="A28" s="99">
        <v>13</v>
      </c>
      <c r="B28" s="138" t="s">
        <v>193</v>
      </c>
      <c r="C28" s="231"/>
      <c r="D28" s="232"/>
      <c r="E28" s="232"/>
      <c r="F28" s="231"/>
      <c r="G28" s="232"/>
      <c r="H28" s="232"/>
    </row>
    <row r="29" spans="1:8" ht="15.75">
      <c r="A29" s="99">
        <v>14</v>
      </c>
      <c r="B29" s="138" t="s">
        <v>194</v>
      </c>
      <c r="C29" s="231"/>
      <c r="D29" s="232"/>
      <c r="E29" s="232"/>
      <c r="F29" s="231"/>
      <c r="G29" s="232"/>
      <c r="H29" s="232"/>
    </row>
    <row r="30" spans="1:8" ht="15.75">
      <c r="A30" s="99">
        <v>15</v>
      </c>
      <c r="B30" s="138" t="s">
        <v>195</v>
      </c>
      <c r="C30" s="231">
        <f t="shared" si="2"/>
        <v>126</v>
      </c>
      <c r="D30" s="232">
        <v>125</v>
      </c>
      <c r="E30" s="232">
        <v>1</v>
      </c>
      <c r="F30" s="231">
        <f t="shared" si="3"/>
        <v>9</v>
      </c>
      <c r="G30" s="232">
        <v>8</v>
      </c>
      <c r="H30" s="232">
        <v>1</v>
      </c>
    </row>
    <row r="31" spans="1:8" ht="15.75">
      <c r="A31" s="99">
        <v>16</v>
      </c>
      <c r="B31" s="138" t="s">
        <v>196</v>
      </c>
      <c r="C31" s="231"/>
      <c r="D31" s="232"/>
      <c r="E31" s="232"/>
      <c r="F31" s="231"/>
      <c r="G31" s="232"/>
      <c r="H31" s="232"/>
    </row>
    <row r="32" spans="1:8" ht="15.75">
      <c r="A32" s="99">
        <v>17</v>
      </c>
      <c r="B32" s="230" t="s">
        <v>238</v>
      </c>
      <c r="C32" s="231">
        <f t="shared" si="2"/>
        <v>26</v>
      </c>
      <c r="D32" s="232">
        <v>26</v>
      </c>
      <c r="E32" s="238">
        <v>0</v>
      </c>
      <c r="F32" s="231">
        <f t="shared" si="3"/>
        <v>0</v>
      </c>
      <c r="G32" s="239">
        <v>0</v>
      </c>
      <c r="H32" s="240">
        <v>0</v>
      </c>
    </row>
    <row r="33" spans="1:8" ht="15.75">
      <c r="A33" s="99">
        <v>18</v>
      </c>
      <c r="B33" s="241" t="s">
        <v>197</v>
      </c>
      <c r="C33" s="231">
        <f t="shared" si="2"/>
        <v>1812</v>
      </c>
      <c r="D33" s="242">
        <v>806</v>
      </c>
      <c r="E33" s="242">
        <v>1006</v>
      </c>
      <c r="F33" s="231">
        <f t="shared" si="3"/>
        <v>416</v>
      </c>
      <c r="G33" s="232">
        <v>416</v>
      </c>
      <c r="H33" s="232">
        <v>0</v>
      </c>
    </row>
    <row r="34" spans="1:8" ht="15.75">
      <c r="A34" s="99">
        <v>19</v>
      </c>
      <c r="B34" s="241" t="s">
        <v>198</v>
      </c>
      <c r="C34" s="231">
        <f t="shared" si="2"/>
        <v>164</v>
      </c>
      <c r="D34" s="232">
        <v>164</v>
      </c>
      <c r="E34" s="232">
        <v>0</v>
      </c>
      <c r="F34" s="231">
        <f t="shared" si="3"/>
        <v>0</v>
      </c>
      <c r="G34" s="243"/>
      <c r="H34" s="244"/>
    </row>
    <row r="35" spans="1:8" ht="15.75">
      <c r="A35" s="99">
        <v>20</v>
      </c>
      <c r="B35" s="245" t="s">
        <v>199</v>
      </c>
      <c r="C35" s="231"/>
      <c r="D35" s="232"/>
      <c r="E35" s="232"/>
      <c r="F35" s="231"/>
      <c r="G35" s="243"/>
      <c r="H35" s="244"/>
    </row>
    <row r="36" spans="1:8" s="10" customFormat="1" ht="15.75">
      <c r="A36" s="324" t="s">
        <v>98</v>
      </c>
      <c r="B36" s="325"/>
      <c r="C36" s="220">
        <f aca="true" t="shared" si="4" ref="C36:H36">SUM(C37:C99)</f>
        <v>37082</v>
      </c>
      <c r="D36" s="220">
        <f t="shared" si="4"/>
        <v>31475</v>
      </c>
      <c r="E36" s="220">
        <f t="shared" si="4"/>
        <v>5607</v>
      </c>
      <c r="F36" s="220">
        <f t="shared" si="4"/>
        <v>2307</v>
      </c>
      <c r="G36" s="220">
        <f t="shared" si="4"/>
        <v>1757</v>
      </c>
      <c r="H36" s="220">
        <f t="shared" si="4"/>
        <v>550</v>
      </c>
    </row>
    <row r="37" spans="1:8" ht="15.75">
      <c r="A37" s="154">
        <v>1</v>
      </c>
      <c r="B37" s="155" t="s">
        <v>175</v>
      </c>
      <c r="C37" s="122">
        <f aca="true" t="shared" si="5" ref="C37:C99">D37+E37</f>
        <v>970</v>
      </c>
      <c r="D37" s="109">
        <v>941</v>
      </c>
      <c r="E37" s="109">
        <v>29</v>
      </c>
      <c r="F37" s="122">
        <f>G37+H37</f>
        <v>6</v>
      </c>
      <c r="G37" s="218">
        <v>3</v>
      </c>
      <c r="H37" s="217">
        <v>3</v>
      </c>
    </row>
    <row r="38" spans="1:8" ht="15.75">
      <c r="A38" s="154">
        <v>2</v>
      </c>
      <c r="B38" s="155" t="s">
        <v>263</v>
      </c>
      <c r="C38" s="122">
        <f t="shared" si="5"/>
        <v>121</v>
      </c>
      <c r="D38" s="109">
        <v>117</v>
      </c>
      <c r="E38" s="109">
        <v>4</v>
      </c>
      <c r="F38" s="122">
        <f aca="true" t="shared" si="6" ref="F38:F55">G38+H38</f>
        <v>1</v>
      </c>
      <c r="G38" s="218">
        <v>1</v>
      </c>
      <c r="H38" s="217"/>
    </row>
    <row r="39" spans="1:8" ht="15.75">
      <c r="A39" s="154">
        <v>3</v>
      </c>
      <c r="B39" s="155" t="s">
        <v>176</v>
      </c>
      <c r="C39" s="122">
        <f t="shared" si="5"/>
        <v>459</v>
      </c>
      <c r="D39" s="109">
        <v>416</v>
      </c>
      <c r="E39" s="109">
        <v>43</v>
      </c>
      <c r="F39" s="122">
        <f t="shared" si="6"/>
        <v>26</v>
      </c>
      <c r="G39" s="218">
        <v>26</v>
      </c>
      <c r="H39" s="217">
        <v>0</v>
      </c>
    </row>
    <row r="40" spans="1:8" ht="15.75">
      <c r="A40" s="154">
        <v>4</v>
      </c>
      <c r="B40" s="155" t="s">
        <v>177</v>
      </c>
      <c r="C40" s="122">
        <f t="shared" si="5"/>
        <v>338</v>
      </c>
      <c r="D40" s="109">
        <v>288</v>
      </c>
      <c r="E40" s="109">
        <v>50</v>
      </c>
      <c r="F40" s="122">
        <f t="shared" si="6"/>
        <v>8</v>
      </c>
      <c r="G40" s="218">
        <v>6</v>
      </c>
      <c r="H40" s="217">
        <v>2</v>
      </c>
    </row>
    <row r="41" spans="1:8" ht="15.75">
      <c r="A41" s="154">
        <v>5</v>
      </c>
      <c r="B41" s="155" t="s">
        <v>178</v>
      </c>
      <c r="C41" s="122">
        <f t="shared" si="5"/>
        <v>119</v>
      </c>
      <c r="D41" s="109">
        <v>95</v>
      </c>
      <c r="E41" s="109">
        <v>24</v>
      </c>
      <c r="F41" s="122">
        <f t="shared" si="6"/>
        <v>3</v>
      </c>
      <c r="G41" s="218">
        <v>3</v>
      </c>
      <c r="H41" s="217">
        <v>0</v>
      </c>
    </row>
    <row r="42" spans="1:8" ht="15.75">
      <c r="A42" s="154">
        <v>6</v>
      </c>
      <c r="B42" s="155" t="s">
        <v>179</v>
      </c>
      <c r="C42" s="122">
        <f t="shared" si="5"/>
        <v>107</v>
      </c>
      <c r="D42" s="109">
        <v>72</v>
      </c>
      <c r="E42" s="109">
        <v>35</v>
      </c>
      <c r="F42" s="122">
        <f t="shared" si="6"/>
        <v>1</v>
      </c>
      <c r="G42" s="218">
        <v>1</v>
      </c>
      <c r="H42" s="217">
        <v>0</v>
      </c>
    </row>
    <row r="43" spans="1:8" ht="15.75">
      <c r="A43" s="154">
        <v>7</v>
      </c>
      <c r="B43" s="155" t="s">
        <v>180</v>
      </c>
      <c r="C43" s="122">
        <f t="shared" si="5"/>
        <v>878</v>
      </c>
      <c r="D43" s="109">
        <v>467</v>
      </c>
      <c r="E43" s="109">
        <v>411</v>
      </c>
      <c r="F43" s="122">
        <f t="shared" si="6"/>
        <v>5</v>
      </c>
      <c r="G43" s="218">
        <v>5</v>
      </c>
      <c r="H43" s="217">
        <v>0</v>
      </c>
    </row>
    <row r="44" spans="1:8" ht="15.75">
      <c r="A44" s="154">
        <v>8</v>
      </c>
      <c r="B44" s="155" t="s">
        <v>181</v>
      </c>
      <c r="C44" s="122">
        <f t="shared" si="5"/>
        <v>732</v>
      </c>
      <c r="D44" s="109">
        <v>675</v>
      </c>
      <c r="E44" s="109">
        <v>57</v>
      </c>
      <c r="F44" s="122">
        <f t="shared" si="6"/>
        <v>17</v>
      </c>
      <c r="G44" s="218">
        <v>2</v>
      </c>
      <c r="H44" s="217">
        <v>15</v>
      </c>
    </row>
    <row r="45" spans="1:8" ht="15.75">
      <c r="A45" s="154">
        <v>9</v>
      </c>
      <c r="B45" s="155" t="s">
        <v>182</v>
      </c>
      <c r="C45" s="122">
        <f t="shared" si="5"/>
        <v>380</v>
      </c>
      <c r="D45" s="109">
        <v>199</v>
      </c>
      <c r="E45" s="109">
        <v>181</v>
      </c>
      <c r="F45" s="122">
        <f t="shared" si="6"/>
        <v>17</v>
      </c>
      <c r="G45" s="218">
        <v>9</v>
      </c>
      <c r="H45" s="217">
        <v>8</v>
      </c>
    </row>
    <row r="46" spans="1:8" ht="15.75">
      <c r="A46" s="154">
        <v>10</v>
      </c>
      <c r="B46" s="155" t="s">
        <v>183</v>
      </c>
      <c r="C46" s="122">
        <f t="shared" si="5"/>
        <v>0</v>
      </c>
      <c r="D46" s="217">
        <v>0</v>
      </c>
      <c r="E46" s="217">
        <v>0</v>
      </c>
      <c r="F46" s="122">
        <f t="shared" si="6"/>
        <v>0</v>
      </c>
      <c r="G46" s="217">
        <v>0</v>
      </c>
      <c r="H46" s="217">
        <v>0</v>
      </c>
    </row>
    <row r="47" spans="1:8" ht="15.75">
      <c r="A47" s="154">
        <v>11</v>
      </c>
      <c r="B47" s="155" t="s">
        <v>184</v>
      </c>
      <c r="C47" s="122">
        <f t="shared" si="5"/>
        <v>593</v>
      </c>
      <c r="D47" s="109">
        <v>519</v>
      </c>
      <c r="E47" s="109">
        <v>74</v>
      </c>
      <c r="F47" s="122">
        <f t="shared" si="6"/>
        <v>25</v>
      </c>
      <c r="G47" s="218">
        <v>22</v>
      </c>
      <c r="H47" s="217">
        <v>3</v>
      </c>
    </row>
    <row r="48" spans="1:8" ht="15.75">
      <c r="A48" s="154">
        <v>12</v>
      </c>
      <c r="B48" s="155" t="s">
        <v>185</v>
      </c>
      <c r="C48" s="122">
        <f t="shared" si="5"/>
        <v>517</v>
      </c>
      <c r="D48" s="109">
        <v>408</v>
      </c>
      <c r="E48" s="109">
        <v>109</v>
      </c>
      <c r="F48" s="122">
        <f t="shared" si="6"/>
        <v>68</v>
      </c>
      <c r="G48" s="218">
        <v>42</v>
      </c>
      <c r="H48" s="217">
        <v>26</v>
      </c>
    </row>
    <row r="49" spans="1:8" ht="15.75">
      <c r="A49" s="154">
        <v>13</v>
      </c>
      <c r="B49" s="155" t="s">
        <v>186</v>
      </c>
      <c r="C49" s="122">
        <f t="shared" si="5"/>
        <v>330</v>
      </c>
      <c r="D49" s="109">
        <v>311</v>
      </c>
      <c r="E49" s="109">
        <v>19</v>
      </c>
      <c r="F49" s="122">
        <f t="shared" si="6"/>
        <v>34</v>
      </c>
      <c r="G49" s="218">
        <v>15</v>
      </c>
      <c r="H49" s="217">
        <v>19</v>
      </c>
    </row>
    <row r="50" spans="1:8" ht="15.75">
      <c r="A50" s="154">
        <v>14</v>
      </c>
      <c r="B50" s="155" t="s">
        <v>187</v>
      </c>
      <c r="C50" s="122">
        <f t="shared" si="5"/>
        <v>198</v>
      </c>
      <c r="D50" s="109">
        <v>154</v>
      </c>
      <c r="E50" s="109">
        <v>44</v>
      </c>
      <c r="F50" s="122">
        <f t="shared" si="6"/>
        <v>20</v>
      </c>
      <c r="G50" s="218">
        <v>18</v>
      </c>
      <c r="H50" s="217">
        <v>2</v>
      </c>
    </row>
    <row r="51" spans="1:8" ht="15.75">
      <c r="A51" s="154">
        <v>15</v>
      </c>
      <c r="B51" s="155" t="s">
        <v>188</v>
      </c>
      <c r="C51" s="122">
        <f t="shared" si="5"/>
        <v>164</v>
      </c>
      <c r="D51" s="109">
        <v>156</v>
      </c>
      <c r="E51" s="109">
        <v>8</v>
      </c>
      <c r="F51" s="122">
        <f t="shared" si="6"/>
        <v>22</v>
      </c>
      <c r="G51" s="218">
        <v>15</v>
      </c>
      <c r="H51" s="217">
        <v>7</v>
      </c>
    </row>
    <row r="52" spans="1:8" ht="15.75">
      <c r="A52" s="154">
        <v>16</v>
      </c>
      <c r="B52" s="155" t="s">
        <v>189</v>
      </c>
      <c r="C52" s="122">
        <f t="shared" si="5"/>
        <v>107</v>
      </c>
      <c r="D52" s="109">
        <v>86</v>
      </c>
      <c r="E52" s="109">
        <v>21</v>
      </c>
      <c r="F52" s="122">
        <f t="shared" si="6"/>
        <v>37</v>
      </c>
      <c r="G52" s="218">
        <v>5</v>
      </c>
      <c r="H52" s="217">
        <v>32</v>
      </c>
    </row>
    <row r="53" spans="1:8" ht="15.75">
      <c r="A53" s="154">
        <v>17</v>
      </c>
      <c r="B53" s="155" t="s">
        <v>190</v>
      </c>
      <c r="C53" s="122">
        <f t="shared" si="5"/>
        <v>169</v>
      </c>
      <c r="D53" s="109">
        <v>157</v>
      </c>
      <c r="E53" s="109">
        <v>12</v>
      </c>
      <c r="F53" s="122">
        <f t="shared" si="6"/>
        <v>4</v>
      </c>
      <c r="G53" s="218">
        <v>4</v>
      </c>
      <c r="H53" s="217">
        <v>0</v>
      </c>
    </row>
    <row r="54" spans="1:8" ht="15.75">
      <c r="A54" s="154">
        <v>18</v>
      </c>
      <c r="B54" s="155" t="s">
        <v>191</v>
      </c>
      <c r="C54" s="122">
        <f t="shared" si="5"/>
        <v>224</v>
      </c>
      <c r="D54" s="109">
        <v>204</v>
      </c>
      <c r="E54" s="109">
        <v>20</v>
      </c>
      <c r="F54" s="122">
        <f t="shared" si="6"/>
        <v>3</v>
      </c>
      <c r="G54" s="218">
        <v>3</v>
      </c>
      <c r="H54" s="217"/>
    </row>
    <row r="55" spans="1:8" ht="15.75">
      <c r="A55" s="154">
        <v>19</v>
      </c>
      <c r="B55" s="157" t="s">
        <v>211</v>
      </c>
      <c r="C55" s="122">
        <f t="shared" si="5"/>
        <v>660</v>
      </c>
      <c r="D55" s="109">
        <v>574</v>
      </c>
      <c r="E55" s="109">
        <v>86</v>
      </c>
      <c r="F55" s="122">
        <f t="shared" si="6"/>
        <v>9</v>
      </c>
      <c r="G55" s="109">
        <v>9</v>
      </c>
      <c r="H55" s="217">
        <v>0</v>
      </c>
    </row>
    <row r="56" spans="1:8" ht="15.75">
      <c r="A56" s="154">
        <v>20</v>
      </c>
      <c r="B56" s="157" t="s">
        <v>212</v>
      </c>
      <c r="C56" s="122">
        <f t="shared" si="5"/>
        <v>251</v>
      </c>
      <c r="D56" s="109">
        <f>15+26+43+19+27+34</f>
        <v>164</v>
      </c>
      <c r="E56" s="109">
        <f>8+32+13+34</f>
        <v>87</v>
      </c>
      <c r="F56" s="122" t="s">
        <v>290</v>
      </c>
      <c r="G56" s="221" t="s">
        <v>290</v>
      </c>
      <c r="H56" s="222" t="s">
        <v>290</v>
      </c>
    </row>
    <row r="57" spans="1:10" ht="15.75">
      <c r="A57" s="154">
        <v>21</v>
      </c>
      <c r="B57" s="157" t="s">
        <v>213</v>
      </c>
      <c r="C57" s="122">
        <f t="shared" si="5"/>
        <v>969</v>
      </c>
      <c r="D57" s="109">
        <v>835</v>
      </c>
      <c r="E57" s="109">
        <v>134</v>
      </c>
      <c r="F57" s="122">
        <f aca="true" t="shared" si="7" ref="F57:F71">G57+H57</f>
        <v>0</v>
      </c>
      <c r="G57" s="217">
        <v>0</v>
      </c>
      <c r="H57" s="217">
        <v>0</v>
      </c>
      <c r="I57" s="353"/>
      <c r="J57" s="353"/>
    </row>
    <row r="58" spans="1:8" ht="15.75">
      <c r="A58" s="154">
        <v>22</v>
      </c>
      <c r="B58" s="157" t="s">
        <v>214</v>
      </c>
      <c r="C58" s="122">
        <f t="shared" si="5"/>
        <v>75</v>
      </c>
      <c r="D58" s="109">
        <v>45</v>
      </c>
      <c r="E58" s="109">
        <v>30</v>
      </c>
      <c r="F58" s="122">
        <f t="shared" si="7"/>
        <v>30</v>
      </c>
      <c r="G58" s="109">
        <v>30</v>
      </c>
      <c r="H58" s="217">
        <v>0</v>
      </c>
    </row>
    <row r="59" spans="1:8" ht="15.75">
      <c r="A59" s="154">
        <v>23</v>
      </c>
      <c r="B59" s="157" t="s">
        <v>215</v>
      </c>
      <c r="C59" s="122">
        <f t="shared" si="5"/>
        <v>80</v>
      </c>
      <c r="D59" s="109">
        <v>72</v>
      </c>
      <c r="E59" s="109">
        <v>8</v>
      </c>
      <c r="F59" s="122">
        <f t="shared" si="7"/>
        <v>5</v>
      </c>
      <c r="G59" s="109">
        <v>3</v>
      </c>
      <c r="H59" s="109">
        <v>2</v>
      </c>
    </row>
    <row r="60" spans="1:8" ht="15.75">
      <c r="A60" s="156">
        <v>24</v>
      </c>
      <c r="B60" s="158" t="s">
        <v>216</v>
      </c>
      <c r="C60" s="122">
        <f t="shared" si="5"/>
        <v>55</v>
      </c>
      <c r="D60" s="109">
        <v>55</v>
      </c>
      <c r="E60" s="217">
        <v>0</v>
      </c>
      <c r="F60" s="122" t="s">
        <v>290</v>
      </c>
      <c r="G60" s="148" t="s">
        <v>290</v>
      </c>
      <c r="H60" s="148" t="s">
        <v>290</v>
      </c>
    </row>
    <row r="61" spans="1:8" ht="15.75">
      <c r="A61" s="154">
        <v>25</v>
      </c>
      <c r="B61" s="157" t="s">
        <v>217</v>
      </c>
      <c r="C61" s="122">
        <f t="shared" si="5"/>
        <v>548</v>
      </c>
      <c r="D61" s="109">
        <v>515</v>
      </c>
      <c r="E61" s="109">
        <v>33</v>
      </c>
      <c r="F61" s="122">
        <f t="shared" si="7"/>
        <v>3</v>
      </c>
      <c r="G61" s="109">
        <v>3</v>
      </c>
      <c r="H61" s="217">
        <v>0</v>
      </c>
    </row>
    <row r="62" spans="1:8" ht="15.75">
      <c r="A62" s="154">
        <v>26</v>
      </c>
      <c r="B62" s="157" t="s">
        <v>218</v>
      </c>
      <c r="C62" s="122">
        <f t="shared" si="5"/>
        <v>1497</v>
      </c>
      <c r="D62" s="109">
        <v>1387</v>
      </c>
      <c r="E62" s="109">
        <v>110</v>
      </c>
      <c r="F62" s="122">
        <f t="shared" si="7"/>
        <v>66</v>
      </c>
      <c r="G62" s="109">
        <v>65</v>
      </c>
      <c r="H62" s="109">
        <v>1</v>
      </c>
    </row>
    <row r="63" spans="1:8" ht="15.75">
      <c r="A63" s="154">
        <v>27</v>
      </c>
      <c r="B63" s="157" t="s">
        <v>219</v>
      </c>
      <c r="C63" s="122">
        <f t="shared" si="5"/>
        <v>165</v>
      </c>
      <c r="D63" s="109">
        <v>89</v>
      </c>
      <c r="E63" s="109">
        <v>76</v>
      </c>
      <c r="F63" s="122">
        <f t="shared" si="7"/>
        <v>59</v>
      </c>
      <c r="G63" s="109">
        <v>59</v>
      </c>
      <c r="H63" s="217">
        <v>0</v>
      </c>
    </row>
    <row r="64" spans="1:8" ht="15.75">
      <c r="A64" s="154">
        <v>28</v>
      </c>
      <c r="B64" s="157" t="s">
        <v>220</v>
      </c>
      <c r="C64" s="122">
        <f t="shared" si="5"/>
        <v>204</v>
      </c>
      <c r="D64" s="109">
        <v>110</v>
      </c>
      <c r="E64" s="109">
        <v>94</v>
      </c>
      <c r="F64" s="122">
        <f t="shared" si="7"/>
        <v>16</v>
      </c>
      <c r="G64" s="217">
        <v>0</v>
      </c>
      <c r="H64" s="109">
        <v>16</v>
      </c>
    </row>
    <row r="65" spans="1:8" ht="15.75">
      <c r="A65" s="154">
        <v>29</v>
      </c>
      <c r="B65" s="157" t="s">
        <v>221</v>
      </c>
      <c r="C65" s="122">
        <f t="shared" si="5"/>
        <v>380</v>
      </c>
      <c r="D65" s="109">
        <v>283</v>
      </c>
      <c r="E65" s="109">
        <v>97</v>
      </c>
      <c r="F65" s="122">
        <f t="shared" si="7"/>
        <v>29</v>
      </c>
      <c r="G65" s="109">
        <v>29</v>
      </c>
      <c r="H65" s="217">
        <v>0</v>
      </c>
    </row>
    <row r="66" spans="1:8" ht="15.75">
      <c r="A66" s="154">
        <v>30</v>
      </c>
      <c r="B66" s="157" t="s">
        <v>222</v>
      </c>
      <c r="C66" s="122">
        <f t="shared" si="5"/>
        <v>927</v>
      </c>
      <c r="D66" s="109">
        <v>880</v>
      </c>
      <c r="E66" s="109">
        <v>47</v>
      </c>
      <c r="F66" s="122">
        <f t="shared" si="7"/>
        <v>50</v>
      </c>
      <c r="G66" s="109">
        <v>21</v>
      </c>
      <c r="H66" s="109">
        <v>29</v>
      </c>
    </row>
    <row r="67" spans="1:8" ht="15.75">
      <c r="A67" s="154">
        <v>31</v>
      </c>
      <c r="B67" s="157" t="s">
        <v>223</v>
      </c>
      <c r="C67" s="122">
        <f t="shared" si="5"/>
        <v>104</v>
      </c>
      <c r="D67" s="109">
        <v>104</v>
      </c>
      <c r="E67" s="109">
        <v>0</v>
      </c>
      <c r="F67" s="122">
        <f t="shared" si="7"/>
        <v>1</v>
      </c>
      <c r="G67" s="109">
        <v>1</v>
      </c>
      <c r="H67" s="217">
        <v>0</v>
      </c>
    </row>
    <row r="68" spans="1:8" ht="15.75">
      <c r="A68" s="154">
        <v>32</v>
      </c>
      <c r="B68" s="157" t="s">
        <v>224</v>
      </c>
      <c r="C68" s="122">
        <f t="shared" si="5"/>
        <v>512</v>
      </c>
      <c r="D68" s="109">
        <v>337</v>
      </c>
      <c r="E68" s="109">
        <v>175</v>
      </c>
      <c r="F68" s="122">
        <f t="shared" si="7"/>
        <v>12</v>
      </c>
      <c r="G68" s="109">
        <v>1</v>
      </c>
      <c r="H68" s="109">
        <v>11</v>
      </c>
    </row>
    <row r="69" spans="1:8" ht="15.75">
      <c r="A69" s="154">
        <v>33</v>
      </c>
      <c r="B69" s="157" t="s">
        <v>225</v>
      </c>
      <c r="C69" s="122">
        <f t="shared" si="5"/>
        <v>183</v>
      </c>
      <c r="D69" s="109">
        <v>183</v>
      </c>
      <c r="E69" s="109">
        <v>0</v>
      </c>
      <c r="F69" s="122">
        <f t="shared" si="7"/>
        <v>0</v>
      </c>
      <c r="G69" s="217">
        <v>0</v>
      </c>
      <c r="H69" s="217">
        <v>0</v>
      </c>
    </row>
    <row r="70" spans="1:8" ht="15.75">
      <c r="A70" s="154">
        <v>34</v>
      </c>
      <c r="B70" s="157" t="s">
        <v>226</v>
      </c>
      <c r="C70" s="122">
        <f t="shared" si="5"/>
        <v>268</v>
      </c>
      <c r="D70" s="109">
        <v>268</v>
      </c>
      <c r="E70" s="109">
        <v>0</v>
      </c>
      <c r="F70" s="122">
        <f t="shared" si="7"/>
        <v>7</v>
      </c>
      <c r="G70" s="109">
        <v>7</v>
      </c>
      <c r="H70" s="217">
        <v>0</v>
      </c>
    </row>
    <row r="71" spans="1:8" ht="15.75">
      <c r="A71" s="154">
        <v>35</v>
      </c>
      <c r="B71" s="157" t="s">
        <v>227</v>
      </c>
      <c r="C71" s="122">
        <f t="shared" si="5"/>
        <v>1037</v>
      </c>
      <c r="D71" s="109">
        <v>932</v>
      </c>
      <c r="E71" s="109">
        <v>105</v>
      </c>
      <c r="F71" s="122">
        <f t="shared" si="7"/>
        <v>41</v>
      </c>
      <c r="G71" s="109">
        <v>41</v>
      </c>
      <c r="H71" s="217">
        <v>0</v>
      </c>
    </row>
    <row r="72" spans="1:8" ht="15.75">
      <c r="A72" s="154">
        <v>36</v>
      </c>
      <c r="B72" s="159" t="s">
        <v>229</v>
      </c>
      <c r="C72" s="122">
        <f t="shared" si="5"/>
        <v>479</v>
      </c>
      <c r="D72" s="109">
        <v>412</v>
      </c>
      <c r="E72" s="109">
        <v>67</v>
      </c>
      <c r="F72" s="122">
        <f>G72</f>
        <v>59</v>
      </c>
      <c r="G72" s="218">
        <v>59</v>
      </c>
      <c r="H72" s="217" t="s">
        <v>290</v>
      </c>
    </row>
    <row r="73" spans="1:8" ht="15.75">
      <c r="A73" s="154">
        <v>37</v>
      </c>
      <c r="B73" s="159" t="s">
        <v>230</v>
      </c>
      <c r="C73" s="164" t="s">
        <v>292</v>
      </c>
      <c r="D73" s="164" t="s">
        <v>292</v>
      </c>
      <c r="E73" s="109">
        <v>0</v>
      </c>
      <c r="F73" s="122">
        <f>G73+H73</f>
        <v>0</v>
      </c>
      <c r="G73" s="109">
        <v>0</v>
      </c>
      <c r="H73" s="109">
        <v>0</v>
      </c>
    </row>
    <row r="74" spans="1:8" ht="15.75">
      <c r="A74" s="154">
        <v>38</v>
      </c>
      <c r="B74" s="159" t="s">
        <v>231</v>
      </c>
      <c r="C74" s="122">
        <f t="shared" si="5"/>
        <v>191</v>
      </c>
      <c r="D74" s="109">
        <v>178</v>
      </c>
      <c r="E74" s="109">
        <v>13</v>
      </c>
      <c r="F74" s="122">
        <f aca="true" t="shared" si="8" ref="F74:F79">G74+H74</f>
        <v>12</v>
      </c>
      <c r="G74" s="218">
        <v>3</v>
      </c>
      <c r="H74" s="217">
        <v>9</v>
      </c>
    </row>
    <row r="75" spans="1:8" ht="15.75">
      <c r="A75" s="154">
        <v>39</v>
      </c>
      <c r="B75" s="159" t="s">
        <v>232</v>
      </c>
      <c r="C75" s="122">
        <f t="shared" si="5"/>
        <v>100</v>
      </c>
      <c r="D75" s="109">
        <v>100</v>
      </c>
      <c r="E75" s="109">
        <v>0</v>
      </c>
      <c r="F75" s="122">
        <f t="shared" si="8"/>
        <v>0</v>
      </c>
      <c r="G75" s="109">
        <v>0</v>
      </c>
      <c r="H75" s="109">
        <v>0</v>
      </c>
    </row>
    <row r="76" spans="1:8" ht="15.75">
      <c r="A76" s="154">
        <v>40</v>
      </c>
      <c r="B76" s="159" t="s">
        <v>233</v>
      </c>
      <c r="C76" s="122">
        <f t="shared" si="5"/>
        <v>5727</v>
      </c>
      <c r="D76" s="109">
        <v>4846</v>
      </c>
      <c r="E76" s="109">
        <v>881</v>
      </c>
      <c r="F76" s="122">
        <f>G76+H76</f>
        <v>565</v>
      </c>
      <c r="G76" s="218">
        <v>457</v>
      </c>
      <c r="H76" s="217">
        <v>108</v>
      </c>
    </row>
    <row r="77" spans="1:8" ht="15.75">
      <c r="A77" s="154">
        <v>41</v>
      </c>
      <c r="B77" s="159" t="s">
        <v>234</v>
      </c>
      <c r="C77" s="122">
        <f>D77+E77</f>
        <v>1056</v>
      </c>
      <c r="D77" s="109">
        <v>801</v>
      </c>
      <c r="E77" s="109">
        <v>255</v>
      </c>
      <c r="F77" s="122">
        <f t="shared" si="8"/>
        <v>16</v>
      </c>
      <c r="G77" s="218">
        <v>13</v>
      </c>
      <c r="H77" s="217">
        <v>3</v>
      </c>
    </row>
    <row r="78" spans="1:8" ht="15.75">
      <c r="A78" s="154">
        <v>42</v>
      </c>
      <c r="B78" s="159" t="s">
        <v>235</v>
      </c>
      <c r="C78" s="122">
        <f t="shared" si="5"/>
        <v>108</v>
      </c>
      <c r="D78" s="109">
        <v>105</v>
      </c>
      <c r="E78" s="109">
        <v>3</v>
      </c>
      <c r="F78" s="122">
        <f>G78+H78</f>
        <v>3</v>
      </c>
      <c r="G78" s="218">
        <v>2</v>
      </c>
      <c r="H78" s="217">
        <v>1</v>
      </c>
    </row>
    <row r="79" spans="1:8" ht="15.75">
      <c r="A79" s="154">
        <v>43</v>
      </c>
      <c r="B79" s="159" t="s">
        <v>236</v>
      </c>
      <c r="C79" s="122">
        <f t="shared" si="5"/>
        <v>1662</v>
      </c>
      <c r="D79" s="109">
        <v>1435</v>
      </c>
      <c r="E79" s="109">
        <v>227</v>
      </c>
      <c r="F79" s="122">
        <f t="shared" si="8"/>
        <v>46</v>
      </c>
      <c r="G79" s="218">
        <v>26</v>
      </c>
      <c r="H79" s="217">
        <v>20</v>
      </c>
    </row>
    <row r="80" spans="1:8" ht="15.75">
      <c r="A80" s="154">
        <v>44</v>
      </c>
      <c r="B80" s="159" t="s">
        <v>237</v>
      </c>
      <c r="C80" s="122">
        <f t="shared" si="5"/>
        <v>155</v>
      </c>
      <c r="D80" s="109">
        <v>155</v>
      </c>
      <c r="E80" s="109">
        <v>0</v>
      </c>
      <c r="F80" s="122">
        <f>G80+H80</f>
        <v>16</v>
      </c>
      <c r="G80" s="218">
        <v>16</v>
      </c>
      <c r="H80" s="109">
        <v>0</v>
      </c>
    </row>
    <row r="81" spans="1:8" s="124" customFormat="1" ht="15.75">
      <c r="A81" s="154">
        <v>45</v>
      </c>
      <c r="B81" s="160" t="s">
        <v>243</v>
      </c>
      <c r="C81" s="122">
        <f t="shared" si="5"/>
        <v>1165</v>
      </c>
      <c r="D81" s="109">
        <v>923</v>
      </c>
      <c r="E81" s="109">
        <v>242</v>
      </c>
      <c r="F81" s="122">
        <f>G81+H81</f>
        <v>51</v>
      </c>
      <c r="G81" s="218">
        <v>42</v>
      </c>
      <c r="H81" s="217">
        <v>9</v>
      </c>
    </row>
    <row r="82" spans="1:8" s="124" customFormat="1" ht="15.75">
      <c r="A82" s="154">
        <v>46</v>
      </c>
      <c r="B82" s="160" t="s">
        <v>244</v>
      </c>
      <c r="C82" s="122">
        <f t="shared" si="5"/>
        <v>235</v>
      </c>
      <c r="D82" s="109">
        <v>150</v>
      </c>
      <c r="E82" s="109">
        <v>85</v>
      </c>
      <c r="F82" s="122">
        <f aca="true" t="shared" si="9" ref="F82:F99">G82+H82</f>
        <v>26</v>
      </c>
      <c r="G82" s="218">
        <v>22</v>
      </c>
      <c r="H82" s="217">
        <v>4</v>
      </c>
    </row>
    <row r="83" spans="1:8" s="124" customFormat="1" ht="15.75">
      <c r="A83" s="154">
        <v>47</v>
      </c>
      <c r="B83" s="160" t="s">
        <v>245</v>
      </c>
      <c r="C83" s="122">
        <f t="shared" si="5"/>
        <v>39</v>
      </c>
      <c r="D83" s="109">
        <v>28</v>
      </c>
      <c r="E83" s="109">
        <v>11</v>
      </c>
      <c r="F83" s="122">
        <f t="shared" si="9"/>
        <v>32</v>
      </c>
      <c r="G83" s="218">
        <v>32</v>
      </c>
      <c r="H83" s="217">
        <v>0</v>
      </c>
    </row>
    <row r="84" spans="1:8" s="124" customFormat="1" ht="15.75">
      <c r="A84" s="154">
        <v>48</v>
      </c>
      <c r="B84" s="160" t="s">
        <v>246</v>
      </c>
      <c r="C84" s="122">
        <f t="shared" si="5"/>
        <v>1270</v>
      </c>
      <c r="D84" s="109">
        <v>1194</v>
      </c>
      <c r="E84" s="109">
        <v>76</v>
      </c>
      <c r="F84" s="122">
        <v>2</v>
      </c>
      <c r="G84" s="218">
        <v>1</v>
      </c>
      <c r="H84" s="217">
        <v>1</v>
      </c>
    </row>
    <row r="85" spans="1:8" s="124" customFormat="1" ht="15.75">
      <c r="A85" s="154">
        <v>49</v>
      </c>
      <c r="B85" s="160" t="s">
        <v>247</v>
      </c>
      <c r="C85" s="122">
        <f t="shared" si="5"/>
        <v>320</v>
      </c>
      <c r="D85" s="109">
        <v>310</v>
      </c>
      <c r="E85" s="109">
        <v>10</v>
      </c>
      <c r="F85" s="122">
        <f t="shared" si="9"/>
        <v>24</v>
      </c>
      <c r="G85" s="218">
        <v>14</v>
      </c>
      <c r="H85" s="217">
        <v>10</v>
      </c>
    </row>
    <row r="86" spans="1:8" s="124" customFormat="1" ht="15.75">
      <c r="A86" s="154">
        <v>50</v>
      </c>
      <c r="B86" s="160" t="s">
        <v>248</v>
      </c>
      <c r="C86" s="122">
        <f t="shared" si="5"/>
        <v>558</v>
      </c>
      <c r="D86" s="109">
        <v>475</v>
      </c>
      <c r="E86" s="109">
        <v>83</v>
      </c>
      <c r="F86" s="122">
        <f t="shared" si="9"/>
        <v>13</v>
      </c>
      <c r="G86" s="218">
        <v>8</v>
      </c>
      <c r="H86" s="217">
        <v>5</v>
      </c>
    </row>
    <row r="87" spans="1:8" s="124" customFormat="1" ht="15.75">
      <c r="A87" s="154">
        <v>51</v>
      </c>
      <c r="B87" s="161" t="s">
        <v>249</v>
      </c>
      <c r="C87" s="122">
        <f t="shared" si="5"/>
        <v>487</v>
      </c>
      <c r="D87" s="109">
        <v>432</v>
      </c>
      <c r="E87" s="109">
        <v>55</v>
      </c>
      <c r="F87" s="122">
        <f t="shared" si="9"/>
        <v>26</v>
      </c>
      <c r="G87" s="218">
        <v>26</v>
      </c>
      <c r="H87" s="217">
        <v>0</v>
      </c>
    </row>
    <row r="88" spans="1:8" s="124" customFormat="1" ht="15.75">
      <c r="A88" s="154">
        <v>52</v>
      </c>
      <c r="B88" s="161" t="s">
        <v>250</v>
      </c>
      <c r="C88" s="122">
        <f t="shared" si="5"/>
        <v>252</v>
      </c>
      <c r="D88" s="109">
        <v>117</v>
      </c>
      <c r="E88" s="109">
        <v>135</v>
      </c>
      <c r="F88" s="122">
        <f t="shared" si="9"/>
        <v>11</v>
      </c>
      <c r="G88" s="218">
        <v>11</v>
      </c>
      <c r="H88" s="217">
        <v>0</v>
      </c>
    </row>
    <row r="89" spans="1:8" s="124" customFormat="1" ht="15.75">
      <c r="A89" s="154">
        <v>53</v>
      </c>
      <c r="B89" s="161" t="s">
        <v>251</v>
      </c>
      <c r="C89" s="122">
        <f t="shared" si="5"/>
        <v>86</v>
      </c>
      <c r="D89" s="109">
        <v>86</v>
      </c>
      <c r="E89" s="109">
        <v>0</v>
      </c>
      <c r="F89" s="122">
        <f t="shared" si="9"/>
        <v>0</v>
      </c>
      <c r="G89" s="218">
        <v>0</v>
      </c>
      <c r="H89" s="217">
        <v>0</v>
      </c>
    </row>
    <row r="90" spans="1:8" s="124" customFormat="1" ht="15.75">
      <c r="A90" s="154">
        <v>54</v>
      </c>
      <c r="B90" s="161" t="s">
        <v>252</v>
      </c>
      <c r="C90" s="122">
        <f t="shared" si="5"/>
        <v>418</v>
      </c>
      <c r="D90" s="109">
        <v>320</v>
      </c>
      <c r="E90" s="109">
        <v>98</v>
      </c>
      <c r="F90" s="122">
        <f t="shared" si="9"/>
        <v>11</v>
      </c>
      <c r="G90" s="218">
        <v>11</v>
      </c>
      <c r="H90" s="217">
        <v>0</v>
      </c>
    </row>
    <row r="91" spans="1:8" s="124" customFormat="1" ht="15.75">
      <c r="A91" s="154">
        <v>55</v>
      </c>
      <c r="B91" s="161" t="s">
        <v>253</v>
      </c>
      <c r="C91" s="122">
        <f t="shared" si="5"/>
        <v>2847</v>
      </c>
      <c r="D91" s="109">
        <v>2636</v>
      </c>
      <c r="E91" s="109">
        <v>211</v>
      </c>
      <c r="F91" s="122">
        <f t="shared" si="9"/>
        <v>169</v>
      </c>
      <c r="G91" s="218">
        <v>73</v>
      </c>
      <c r="H91" s="217">
        <v>96</v>
      </c>
    </row>
    <row r="92" spans="1:8" s="124" customFormat="1" ht="15.75">
      <c r="A92" s="154">
        <v>56</v>
      </c>
      <c r="B92" s="161" t="s">
        <v>254</v>
      </c>
      <c r="C92" s="122">
        <f t="shared" si="5"/>
        <v>1228</v>
      </c>
      <c r="D92" s="109">
        <v>1051</v>
      </c>
      <c r="E92" s="109">
        <v>177</v>
      </c>
      <c r="F92" s="122">
        <v>180</v>
      </c>
      <c r="G92" s="218">
        <v>121</v>
      </c>
      <c r="H92" s="217">
        <v>59</v>
      </c>
    </row>
    <row r="93" spans="1:8" s="124" customFormat="1" ht="15.75">
      <c r="A93" s="154">
        <v>57</v>
      </c>
      <c r="B93" s="161" t="s">
        <v>255</v>
      </c>
      <c r="C93" s="122">
        <f t="shared" si="5"/>
        <v>838</v>
      </c>
      <c r="D93" s="109">
        <v>724</v>
      </c>
      <c r="E93" s="109">
        <v>114</v>
      </c>
      <c r="F93" s="122">
        <f t="shared" si="9"/>
        <v>136</v>
      </c>
      <c r="G93" s="218">
        <v>124</v>
      </c>
      <c r="H93" s="217">
        <v>12</v>
      </c>
    </row>
    <row r="94" spans="1:8" s="124" customFormat="1" ht="15.75">
      <c r="A94" s="154">
        <v>58</v>
      </c>
      <c r="B94" s="161" t="s">
        <v>256</v>
      </c>
      <c r="C94" s="122">
        <f t="shared" si="5"/>
        <v>1576</v>
      </c>
      <c r="D94" s="109">
        <v>1239</v>
      </c>
      <c r="E94" s="109">
        <v>337</v>
      </c>
      <c r="F94" s="122">
        <f t="shared" si="9"/>
        <v>193</v>
      </c>
      <c r="G94" s="218">
        <v>187</v>
      </c>
      <c r="H94" s="218">
        <v>6</v>
      </c>
    </row>
    <row r="95" spans="1:8" s="124" customFormat="1" ht="15.75">
      <c r="A95" s="154">
        <v>59</v>
      </c>
      <c r="B95" s="161" t="s">
        <v>257</v>
      </c>
      <c r="C95" s="122">
        <f t="shared" si="5"/>
        <v>385</v>
      </c>
      <c r="D95" s="109">
        <v>263</v>
      </c>
      <c r="E95" s="109">
        <v>122</v>
      </c>
      <c r="F95" s="122">
        <f t="shared" si="9"/>
        <v>6</v>
      </c>
      <c r="G95" s="218">
        <v>6</v>
      </c>
      <c r="H95" s="217">
        <v>0</v>
      </c>
    </row>
    <row r="96" spans="1:8" s="124" customFormat="1" ht="15.75">
      <c r="A96" s="154">
        <v>60</v>
      </c>
      <c r="B96" s="161" t="s">
        <v>258</v>
      </c>
      <c r="C96" s="122">
        <f t="shared" si="5"/>
        <v>778</v>
      </c>
      <c r="D96" s="109">
        <v>644</v>
      </c>
      <c r="E96" s="109">
        <v>134</v>
      </c>
      <c r="F96" s="122">
        <f t="shared" si="9"/>
        <v>38</v>
      </c>
      <c r="G96" s="218">
        <v>36</v>
      </c>
      <c r="H96" s="217">
        <v>2</v>
      </c>
    </row>
    <row r="97" spans="1:8" s="124" customFormat="1" ht="15.75">
      <c r="A97" s="154">
        <v>61</v>
      </c>
      <c r="B97" s="161" t="s">
        <v>259</v>
      </c>
      <c r="C97" s="122">
        <f t="shared" si="5"/>
        <v>5</v>
      </c>
      <c r="D97" s="109">
        <v>5</v>
      </c>
      <c r="E97" s="109">
        <v>0</v>
      </c>
      <c r="F97" s="122">
        <f t="shared" si="9"/>
        <v>0</v>
      </c>
      <c r="G97" s="218">
        <v>0</v>
      </c>
      <c r="H97" s="217">
        <v>0</v>
      </c>
    </row>
    <row r="98" spans="1:8" s="124" customFormat="1" ht="19.5" customHeight="1">
      <c r="A98" s="154">
        <v>62</v>
      </c>
      <c r="B98" s="161" t="s">
        <v>260</v>
      </c>
      <c r="C98" s="122">
        <f t="shared" si="5"/>
        <v>556</v>
      </c>
      <c r="D98" s="109">
        <v>514</v>
      </c>
      <c r="E98" s="109">
        <v>42</v>
      </c>
      <c r="F98" s="122">
        <v>43</v>
      </c>
      <c r="G98" s="218">
        <v>16</v>
      </c>
      <c r="H98" s="217">
        <v>27</v>
      </c>
    </row>
    <row r="99" spans="1:8" s="124" customFormat="1" ht="15.75">
      <c r="A99" s="154">
        <v>63</v>
      </c>
      <c r="B99" s="161" t="s">
        <v>261</v>
      </c>
      <c r="C99" s="122">
        <f t="shared" si="5"/>
        <v>240</v>
      </c>
      <c r="D99" s="109">
        <v>234</v>
      </c>
      <c r="E99" s="109">
        <v>6</v>
      </c>
      <c r="F99" s="122">
        <f t="shared" si="9"/>
        <v>4</v>
      </c>
      <c r="G99" s="218">
        <v>2</v>
      </c>
      <c r="H99" s="217">
        <v>2</v>
      </c>
    </row>
    <row r="100" spans="1:8" ht="12.75">
      <c r="A100"/>
      <c r="B100" s="96"/>
      <c r="C100"/>
      <c r="D100"/>
      <c r="E100"/>
      <c r="F100"/>
      <c r="G100" s="38"/>
      <c r="H100" s="8"/>
    </row>
    <row r="101" spans="1:8" s="10" customFormat="1" ht="12.75">
      <c r="A101"/>
      <c r="B101" s="96"/>
      <c r="C101"/>
      <c r="D101"/>
      <c r="E101"/>
      <c r="F101"/>
      <c r="G101" s="64"/>
      <c r="H101" s="9"/>
    </row>
    <row r="102" spans="1:18" s="210" customFormat="1" ht="12.75">
      <c r="A102" s="47"/>
      <c r="B102" s="47" t="s">
        <v>264</v>
      </c>
      <c r="C102" s="47" t="s">
        <v>286</v>
      </c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213"/>
      <c r="P102" s="213"/>
      <c r="Q102" s="213"/>
      <c r="R102" s="213"/>
    </row>
    <row r="103" spans="1:18" s="211" customFormat="1" ht="12.75">
      <c r="A103" s="47"/>
      <c r="B103" s="210" t="s">
        <v>288</v>
      </c>
      <c r="C103" s="47" t="s">
        <v>294</v>
      </c>
      <c r="F103" s="47"/>
      <c r="G103" s="47"/>
      <c r="H103" s="47"/>
      <c r="I103" s="47"/>
      <c r="J103" s="47"/>
      <c r="K103" s="47"/>
      <c r="L103" s="47"/>
      <c r="M103" s="47"/>
      <c r="N103" s="47"/>
      <c r="O103" s="213"/>
      <c r="P103" s="214"/>
      <c r="Q103" s="214"/>
      <c r="R103" s="214"/>
    </row>
    <row r="104" spans="1:12" s="211" customFormat="1" ht="12.75">
      <c r="A104" s="47"/>
      <c r="B104" s="47" t="s">
        <v>293</v>
      </c>
      <c r="C104" s="47" t="s">
        <v>296</v>
      </c>
      <c r="E104" s="47"/>
      <c r="F104" s="47"/>
      <c r="G104" s="47"/>
      <c r="H104" s="47"/>
      <c r="I104" s="47"/>
      <c r="J104" s="47"/>
      <c r="K104" s="214"/>
      <c r="L104" s="214"/>
    </row>
    <row r="105" spans="1:18" s="211" customFormat="1" ht="16.5" customHeight="1">
      <c r="A105" s="47"/>
      <c r="B105" s="210" t="s">
        <v>289</v>
      </c>
      <c r="C105" s="47" t="s">
        <v>287</v>
      </c>
      <c r="F105" s="47"/>
      <c r="G105" s="47"/>
      <c r="H105" s="47"/>
      <c r="I105" s="47"/>
      <c r="J105" s="47"/>
      <c r="K105" s="47"/>
      <c r="L105" s="47"/>
      <c r="M105" s="47"/>
      <c r="N105" s="47"/>
      <c r="O105" s="213"/>
      <c r="P105" s="214"/>
      <c r="Q105" s="214"/>
      <c r="R105" s="214"/>
    </row>
    <row r="106" spans="1:18" s="211" customFormat="1" ht="12.75">
      <c r="A106" s="47"/>
      <c r="B106" s="47" t="s">
        <v>295</v>
      </c>
      <c r="C106" s="224" t="s">
        <v>299</v>
      </c>
      <c r="D106" s="225"/>
      <c r="E106" s="224"/>
      <c r="F106" s="224"/>
      <c r="G106" s="224"/>
      <c r="H106" s="224"/>
      <c r="I106" s="47"/>
      <c r="J106" s="47"/>
      <c r="K106" s="47"/>
      <c r="L106" s="47"/>
      <c r="M106" s="47"/>
      <c r="N106" s="47"/>
      <c r="O106" s="213"/>
      <c r="P106" s="214"/>
      <c r="Q106" s="214"/>
      <c r="R106" s="214"/>
    </row>
    <row r="107" spans="1:8" s="10" customFormat="1" ht="12.75">
      <c r="A107"/>
      <c r="B107" s="96"/>
      <c r="C107" s="207"/>
      <c r="D107" s="207"/>
      <c r="E107" s="207"/>
      <c r="F107" s="207"/>
      <c r="G107" s="208"/>
      <c r="H107" s="209"/>
    </row>
    <row r="108" spans="1:8" s="10" customFormat="1" ht="12.75">
      <c r="A108"/>
      <c r="B108" s="96"/>
      <c r="C108" s="207"/>
      <c r="D108" s="207"/>
      <c r="E108" s="207"/>
      <c r="F108" s="207"/>
      <c r="G108" s="208"/>
      <c r="H108" s="209"/>
    </row>
    <row r="109" spans="1:8" s="10" customFormat="1" ht="12.75">
      <c r="A109"/>
      <c r="B109" s="96"/>
      <c r="C109"/>
      <c r="D109"/>
      <c r="E109"/>
      <c r="F109"/>
      <c r="G109" s="64"/>
      <c r="H109" s="9"/>
    </row>
    <row r="110" spans="1:8" s="12" customFormat="1" ht="12.75">
      <c r="A110"/>
      <c r="B110" s="96"/>
      <c r="C110"/>
      <c r="D110"/>
      <c r="E110"/>
      <c r="F110"/>
      <c r="G110" s="64"/>
      <c r="H110" s="9"/>
    </row>
    <row r="111" spans="1:8" s="14" customFormat="1" ht="12.75">
      <c r="A111"/>
      <c r="B111" s="96"/>
      <c r="C111"/>
      <c r="D111"/>
      <c r="E111"/>
      <c r="F111"/>
      <c r="G111" s="64"/>
      <c r="H111" s="13"/>
    </row>
    <row r="112" spans="1:8" s="10" customFormat="1" ht="12.75">
      <c r="A112"/>
      <c r="B112" s="96"/>
      <c r="C112"/>
      <c r="D112"/>
      <c r="E112"/>
      <c r="F112"/>
      <c r="G112" s="64"/>
      <c r="H112" s="9"/>
    </row>
    <row r="113" spans="1:8" s="10" customFormat="1" ht="12.75">
      <c r="A113"/>
      <c r="B113" s="96"/>
      <c r="C113"/>
      <c r="D113"/>
      <c r="E113"/>
      <c r="F113"/>
      <c r="G113" s="64"/>
      <c r="H113" s="9"/>
    </row>
    <row r="114" spans="1:8" s="10" customFormat="1" ht="12.75">
      <c r="A114"/>
      <c r="B114" s="96"/>
      <c r="C114"/>
      <c r="D114"/>
      <c r="E114"/>
      <c r="F114"/>
      <c r="G114" s="64"/>
      <c r="H114" s="9"/>
    </row>
    <row r="115" spans="1:8" s="10" customFormat="1" ht="12.75">
      <c r="A115"/>
      <c r="B115" s="96"/>
      <c r="C115"/>
      <c r="D115"/>
      <c r="E115"/>
      <c r="F115"/>
      <c r="G115" s="64"/>
      <c r="H115" s="9"/>
    </row>
    <row r="116" spans="1:8" s="10" customFormat="1" ht="12.75">
      <c r="A116"/>
      <c r="B116" s="96"/>
      <c r="C116"/>
      <c r="D116"/>
      <c r="E116"/>
      <c r="F116"/>
      <c r="G116" s="64"/>
      <c r="H116" s="9"/>
    </row>
    <row r="117" spans="1:8" s="10" customFormat="1" ht="12.75">
      <c r="A117"/>
      <c r="B117" s="96"/>
      <c r="C117"/>
      <c r="D117"/>
      <c r="E117"/>
      <c r="F117"/>
      <c r="G117" s="64"/>
      <c r="H117" s="9"/>
    </row>
    <row r="118" spans="1:8" s="10" customFormat="1" ht="12.75">
      <c r="A118"/>
      <c r="B118" s="96"/>
      <c r="C118"/>
      <c r="D118"/>
      <c r="E118"/>
      <c r="F118"/>
      <c r="G118" s="64"/>
      <c r="H118" s="9"/>
    </row>
    <row r="119" spans="1:8" s="35" customFormat="1" ht="12.75">
      <c r="A119"/>
      <c r="B119" s="96"/>
      <c r="C119"/>
      <c r="D119"/>
      <c r="E119"/>
      <c r="F119"/>
      <c r="G119" s="64"/>
      <c r="H119" s="9"/>
    </row>
    <row r="120" spans="1:8" s="10" customFormat="1" ht="16.5" customHeight="1">
      <c r="A120"/>
      <c r="B120" s="96"/>
      <c r="C120"/>
      <c r="D120"/>
      <c r="E120"/>
      <c r="F120"/>
      <c r="G120" s="64"/>
      <c r="H120" s="9"/>
    </row>
    <row r="121" spans="1:8" s="10" customFormat="1" ht="12.75">
      <c r="A121"/>
      <c r="B121" s="96"/>
      <c r="C121"/>
      <c r="D121"/>
      <c r="E121"/>
      <c r="F121"/>
      <c r="G121" s="64"/>
      <c r="H121" s="9"/>
    </row>
    <row r="122" spans="1:8" s="10" customFormat="1" ht="12.75">
      <c r="A122"/>
      <c r="B122" s="96"/>
      <c r="C122"/>
      <c r="D122"/>
      <c r="E122"/>
      <c r="F122"/>
      <c r="G122" s="64"/>
      <c r="H122" s="9"/>
    </row>
    <row r="123" spans="1:8" s="10" customFormat="1" ht="12.75">
      <c r="A123"/>
      <c r="B123" s="96"/>
      <c r="C123"/>
      <c r="D123"/>
      <c r="E123"/>
      <c r="F123"/>
      <c r="G123" s="64"/>
      <c r="H123" s="9"/>
    </row>
    <row r="124" spans="1:8" s="10" customFormat="1" ht="12.75">
      <c r="A124"/>
      <c r="B124" s="96"/>
      <c r="C124"/>
      <c r="D124"/>
      <c r="E124"/>
      <c r="F124"/>
      <c r="G124" s="64"/>
      <c r="H124" s="9"/>
    </row>
    <row r="125" spans="1:8" s="10" customFormat="1" ht="12.75">
      <c r="A125"/>
      <c r="B125" s="96"/>
      <c r="C125"/>
      <c r="D125"/>
      <c r="E125"/>
      <c r="F125"/>
      <c r="G125" s="64"/>
      <c r="H125" s="9"/>
    </row>
    <row r="126" spans="1:8" s="10" customFormat="1" ht="12.75">
      <c r="A126"/>
      <c r="B126" s="96"/>
      <c r="C126"/>
      <c r="D126"/>
      <c r="E126"/>
      <c r="F126"/>
      <c r="G126" s="64"/>
      <c r="H126" s="9"/>
    </row>
    <row r="127" spans="1:8" s="10" customFormat="1" ht="12.75">
      <c r="A127"/>
      <c r="B127" s="96"/>
      <c r="C127"/>
      <c r="D127"/>
      <c r="E127"/>
      <c r="F127"/>
      <c r="G127" s="64"/>
      <c r="H127" s="9"/>
    </row>
    <row r="128" spans="1:8" s="10" customFormat="1" ht="12.75">
      <c r="A128"/>
      <c r="B128" s="96"/>
      <c r="C128"/>
      <c r="D128"/>
      <c r="E128"/>
      <c r="F128"/>
      <c r="G128" s="64"/>
      <c r="H128" s="9"/>
    </row>
    <row r="129" spans="1:8" s="10" customFormat="1" ht="12.75">
      <c r="A129"/>
      <c r="B129" s="96"/>
      <c r="C129"/>
      <c r="D129"/>
      <c r="E129"/>
      <c r="F129"/>
      <c r="G129" s="64"/>
      <c r="H129" s="9"/>
    </row>
    <row r="130" spans="1:8" s="11" customFormat="1" ht="12.75">
      <c r="A130"/>
      <c r="B130" s="96"/>
      <c r="C130"/>
      <c r="D130"/>
      <c r="E130"/>
      <c r="F130"/>
      <c r="G130" s="64"/>
      <c r="H130" s="9"/>
    </row>
    <row r="131" spans="1:8" s="10" customFormat="1" ht="12.75">
      <c r="A131"/>
      <c r="B131" s="96"/>
      <c r="C131"/>
      <c r="D131"/>
      <c r="E131"/>
      <c r="F131"/>
      <c r="G131" s="64"/>
      <c r="H131" s="9"/>
    </row>
    <row r="132" spans="1:8" s="10" customFormat="1" ht="12.75">
      <c r="A132"/>
      <c r="B132" s="96"/>
      <c r="C132"/>
      <c r="D132"/>
      <c r="E132"/>
      <c r="F132"/>
      <c r="G132" s="64"/>
      <c r="H132" s="9"/>
    </row>
    <row r="133" spans="1:8" s="65" customFormat="1" ht="12.75">
      <c r="A133"/>
      <c r="B133" s="96"/>
      <c r="C133"/>
      <c r="D133"/>
      <c r="E133"/>
      <c r="F133"/>
      <c r="G133" s="64"/>
      <c r="H133" s="64"/>
    </row>
    <row r="134" spans="1:8" s="11" customFormat="1" ht="12.75">
      <c r="A134"/>
      <c r="B134" s="96"/>
      <c r="C134"/>
      <c r="D134"/>
      <c r="E134"/>
      <c r="F134"/>
      <c r="G134" s="64"/>
      <c r="H134" s="15"/>
    </row>
    <row r="135" spans="1:8" s="10" customFormat="1" ht="12.75">
      <c r="A135"/>
      <c r="B135" s="96"/>
      <c r="C135"/>
      <c r="D135"/>
      <c r="E135"/>
      <c r="F135"/>
      <c r="G135" s="64"/>
      <c r="H135" s="9"/>
    </row>
    <row r="136" spans="1:8" s="10" customFormat="1" ht="12.75">
      <c r="A136"/>
      <c r="B136" s="96"/>
      <c r="C136"/>
      <c r="D136"/>
      <c r="E136"/>
      <c r="F136"/>
      <c r="G136" s="64"/>
      <c r="H136" s="9"/>
    </row>
    <row r="137" spans="1:8" s="11" customFormat="1" ht="12.75">
      <c r="A137"/>
      <c r="B137" s="96"/>
      <c r="C137"/>
      <c r="D137"/>
      <c r="E137"/>
      <c r="F137"/>
      <c r="G137" s="64"/>
      <c r="H137" s="15"/>
    </row>
    <row r="138" spans="1:8" s="10" customFormat="1" ht="12.75">
      <c r="A138"/>
      <c r="B138" s="96"/>
      <c r="C138"/>
      <c r="D138"/>
      <c r="E138"/>
      <c r="F138"/>
      <c r="G138" s="64"/>
      <c r="H138" s="9"/>
    </row>
    <row r="139" spans="1:8" s="10" customFormat="1" ht="12.75">
      <c r="A139"/>
      <c r="B139" s="96"/>
      <c r="C139"/>
      <c r="D139"/>
      <c r="E139"/>
      <c r="F139"/>
      <c r="G139" s="64"/>
      <c r="H139" s="9"/>
    </row>
    <row r="140" spans="1:8" s="10" customFormat="1" ht="12.75">
      <c r="A140"/>
      <c r="B140" s="96"/>
      <c r="C140"/>
      <c r="D140"/>
      <c r="E140"/>
      <c r="F140"/>
      <c r="G140" s="64"/>
      <c r="H140" s="9"/>
    </row>
    <row r="141" spans="1:8" s="10" customFormat="1" ht="12.75">
      <c r="A141"/>
      <c r="B141" s="96"/>
      <c r="C141"/>
      <c r="D141"/>
      <c r="E141"/>
      <c r="F141"/>
      <c r="G141" s="64"/>
      <c r="H141" s="9"/>
    </row>
    <row r="142" spans="1:8" s="11" customFormat="1" ht="12.75">
      <c r="A142"/>
      <c r="B142" s="96"/>
      <c r="C142"/>
      <c r="D142"/>
      <c r="E142"/>
      <c r="F142"/>
      <c r="G142" s="64"/>
      <c r="H142" s="15"/>
    </row>
    <row r="143" spans="1:8" s="10" customFormat="1" ht="12.75">
      <c r="A143"/>
      <c r="B143" s="96"/>
      <c r="C143"/>
      <c r="D143"/>
      <c r="E143"/>
      <c r="F143"/>
      <c r="G143" s="64"/>
      <c r="H143" s="9"/>
    </row>
    <row r="144" spans="1:8" s="10" customFormat="1" ht="12.75">
      <c r="A144"/>
      <c r="B144" s="96"/>
      <c r="C144"/>
      <c r="D144"/>
      <c r="E144"/>
      <c r="F144"/>
      <c r="G144" s="64"/>
      <c r="H144" s="9"/>
    </row>
    <row r="145" spans="1:8" s="10" customFormat="1" ht="12.75">
      <c r="A145"/>
      <c r="B145" s="96"/>
      <c r="C145"/>
      <c r="D145"/>
      <c r="E145"/>
      <c r="F145"/>
      <c r="G145" s="64"/>
      <c r="H145" s="9"/>
    </row>
    <row r="146" spans="1:8" s="10" customFormat="1" ht="12.75">
      <c r="A146"/>
      <c r="B146" s="96"/>
      <c r="C146"/>
      <c r="D146"/>
      <c r="E146"/>
      <c r="F146"/>
      <c r="G146" s="64"/>
      <c r="H146" s="9"/>
    </row>
    <row r="147" spans="1:8" s="10" customFormat="1" ht="12.75">
      <c r="A147"/>
      <c r="B147" s="96"/>
      <c r="C147"/>
      <c r="D147"/>
      <c r="E147"/>
      <c r="F147"/>
      <c r="G147" s="64"/>
      <c r="H147" s="9"/>
    </row>
    <row r="148" spans="1:8" s="10" customFormat="1" ht="12.75">
      <c r="A148"/>
      <c r="B148" s="96"/>
      <c r="C148"/>
      <c r="D148"/>
      <c r="E148"/>
      <c r="F148"/>
      <c r="G148" s="64"/>
      <c r="H148" s="9"/>
    </row>
    <row r="149" spans="1:8" s="11" customFormat="1" ht="12.75">
      <c r="A149"/>
      <c r="B149" s="96"/>
      <c r="C149"/>
      <c r="D149"/>
      <c r="E149"/>
      <c r="F149"/>
      <c r="G149" s="64"/>
      <c r="H149" s="15"/>
    </row>
    <row r="150" spans="1:8" s="10" customFormat="1" ht="12.75">
      <c r="A150"/>
      <c r="B150" s="96"/>
      <c r="C150"/>
      <c r="D150"/>
      <c r="E150"/>
      <c r="F150"/>
      <c r="G150" s="64"/>
      <c r="H150" s="9"/>
    </row>
    <row r="151" spans="1:8" s="35" customFormat="1" ht="12.75">
      <c r="A151"/>
      <c r="B151" s="96"/>
      <c r="C151"/>
      <c r="D151"/>
      <c r="E151"/>
      <c r="F151"/>
      <c r="G151" s="64"/>
      <c r="H151" s="9"/>
    </row>
    <row r="152" spans="1:8" s="11" customFormat="1" ht="12.75">
      <c r="A152"/>
      <c r="B152" s="96"/>
      <c r="C152"/>
      <c r="D152"/>
      <c r="E152"/>
      <c r="F152"/>
      <c r="G152" s="64"/>
      <c r="H152" s="9"/>
    </row>
    <row r="153" spans="2:8" s="11" customFormat="1" ht="28.5" customHeight="1">
      <c r="B153" s="12"/>
      <c r="G153" s="64"/>
      <c r="H153" s="9"/>
    </row>
    <row r="154" spans="2:6" ht="12.75">
      <c r="B154" s="96"/>
      <c r="C154"/>
      <c r="D154"/>
      <c r="E154"/>
      <c r="F154"/>
    </row>
    <row r="155" spans="3:6" ht="12.75">
      <c r="C155"/>
      <c r="D155"/>
      <c r="E155"/>
      <c r="F155"/>
    </row>
    <row r="156" spans="3:6" ht="12.75">
      <c r="C156"/>
      <c r="D156"/>
      <c r="E156"/>
      <c r="F156"/>
    </row>
    <row r="157" spans="3:6" ht="12.75">
      <c r="C157"/>
      <c r="D157"/>
      <c r="E157"/>
      <c r="F157"/>
    </row>
    <row r="158" spans="3:6" ht="12.75">
      <c r="C158"/>
      <c r="D158"/>
      <c r="E158"/>
      <c r="F158"/>
    </row>
    <row r="159" spans="3:6" ht="12.75">
      <c r="C159"/>
      <c r="D159"/>
      <c r="E159"/>
      <c r="F159"/>
    </row>
    <row r="160" spans="3:6" ht="12.75">
      <c r="C160"/>
      <c r="D160"/>
      <c r="E160"/>
      <c r="F160"/>
    </row>
    <row r="161" spans="3:6" ht="12.75">
      <c r="C161"/>
      <c r="D161"/>
      <c r="E161"/>
      <c r="F161"/>
    </row>
    <row r="162" spans="3:6" ht="12.75">
      <c r="C162"/>
      <c r="D162"/>
      <c r="E162"/>
      <c r="F162"/>
    </row>
    <row r="163" spans="3:6" ht="12.75">
      <c r="C163"/>
      <c r="D163"/>
      <c r="E163"/>
      <c r="F163"/>
    </row>
    <row r="164" spans="3:6" ht="12.75">
      <c r="C164"/>
      <c r="D164"/>
      <c r="E164"/>
      <c r="F164"/>
    </row>
    <row r="165" spans="3:6" ht="12.75">
      <c r="C165"/>
      <c r="D165"/>
      <c r="E165"/>
      <c r="F165"/>
    </row>
    <row r="166" spans="3:6" ht="12.75">
      <c r="C166"/>
      <c r="D166"/>
      <c r="E166"/>
      <c r="F166"/>
    </row>
    <row r="167" spans="3:6" ht="12.75">
      <c r="C167"/>
      <c r="D167"/>
      <c r="E167"/>
      <c r="F167"/>
    </row>
    <row r="168" spans="3:6" ht="12.75">
      <c r="C168"/>
      <c r="D168"/>
      <c r="E168"/>
      <c r="F168"/>
    </row>
    <row r="169" spans="3:6" ht="12.75">
      <c r="C169"/>
      <c r="D169"/>
      <c r="E169"/>
      <c r="F169"/>
    </row>
    <row r="170" spans="3:6" ht="12.75">
      <c r="C170"/>
      <c r="D170"/>
      <c r="E170"/>
      <c r="F170"/>
    </row>
    <row r="171" spans="3:6" ht="12.75">
      <c r="C171"/>
      <c r="D171"/>
      <c r="E171"/>
      <c r="F171"/>
    </row>
    <row r="172" spans="3:6" ht="12.75">
      <c r="C172"/>
      <c r="D172"/>
      <c r="E172"/>
      <c r="F172"/>
    </row>
    <row r="173" spans="3:6" ht="12.75">
      <c r="C173"/>
      <c r="D173"/>
      <c r="E173"/>
      <c r="F173"/>
    </row>
    <row r="174" spans="3:6" ht="12.75">
      <c r="C174"/>
      <c r="D174"/>
      <c r="E174"/>
      <c r="F174"/>
    </row>
    <row r="175" spans="3:6" ht="12.75">
      <c r="C175"/>
      <c r="D175"/>
      <c r="E175"/>
      <c r="F175"/>
    </row>
    <row r="176" spans="3:6" ht="12.75">
      <c r="C176"/>
      <c r="D176"/>
      <c r="E176"/>
      <c r="F176"/>
    </row>
    <row r="177" spans="3:6" ht="12.75">
      <c r="C177"/>
      <c r="D177"/>
      <c r="E177"/>
      <c r="F177"/>
    </row>
    <row r="178" spans="3:6" ht="12.75">
      <c r="C178"/>
      <c r="D178"/>
      <c r="E178"/>
      <c r="F178"/>
    </row>
    <row r="179" spans="3:6" ht="12.75">
      <c r="C179"/>
      <c r="D179"/>
      <c r="E179"/>
      <c r="F179"/>
    </row>
    <row r="180" spans="3:6" ht="12.75">
      <c r="C180"/>
      <c r="D180"/>
      <c r="E180"/>
      <c r="F180"/>
    </row>
    <row r="181" spans="3:6" ht="12.75">
      <c r="C181"/>
      <c r="D181"/>
      <c r="E181"/>
      <c r="F181"/>
    </row>
    <row r="182" spans="3:6" ht="12.75">
      <c r="C182"/>
      <c r="D182"/>
      <c r="E182"/>
      <c r="F182"/>
    </row>
    <row r="183" spans="3:6" ht="12.75">
      <c r="C183"/>
      <c r="D183"/>
      <c r="E183"/>
      <c r="F183"/>
    </row>
    <row r="184" spans="3:6" ht="12.75">
      <c r="C184"/>
      <c r="D184"/>
      <c r="E184"/>
      <c r="F184"/>
    </row>
    <row r="185" spans="3:6" ht="12.75">
      <c r="C185"/>
      <c r="D185"/>
      <c r="E185"/>
      <c r="F185"/>
    </row>
    <row r="186" spans="3:6" ht="12.75">
      <c r="C186"/>
      <c r="D186"/>
      <c r="E186"/>
      <c r="F186"/>
    </row>
    <row r="187" spans="3:6" ht="12.75">
      <c r="C187"/>
      <c r="D187"/>
      <c r="E187"/>
      <c r="F187"/>
    </row>
    <row r="188" spans="3:6" ht="12.75">
      <c r="C188"/>
      <c r="D188"/>
      <c r="E188"/>
      <c r="F188"/>
    </row>
    <row r="189" spans="3:6" ht="12.75">
      <c r="C189"/>
      <c r="D189"/>
      <c r="E189"/>
      <c r="F189"/>
    </row>
    <row r="190" spans="3:6" ht="12.75">
      <c r="C190"/>
      <c r="D190"/>
      <c r="E190"/>
      <c r="F190"/>
    </row>
    <row r="191" spans="3:6" ht="12.75">
      <c r="C191"/>
      <c r="D191"/>
      <c r="E191"/>
      <c r="F191"/>
    </row>
    <row r="192" spans="3:6" ht="12.75">
      <c r="C192"/>
      <c r="D192"/>
      <c r="E192"/>
      <c r="F192"/>
    </row>
    <row r="193" spans="3:6" ht="12.75">
      <c r="C193"/>
      <c r="D193"/>
      <c r="E193"/>
      <c r="F193"/>
    </row>
    <row r="194" spans="3:6" ht="12.75">
      <c r="C194"/>
      <c r="D194"/>
      <c r="E194"/>
      <c r="F194"/>
    </row>
    <row r="195" spans="3:6" ht="12.75">
      <c r="C195"/>
      <c r="D195"/>
      <c r="E195"/>
      <c r="F195"/>
    </row>
    <row r="196" spans="3:6" ht="12.75">
      <c r="C196"/>
      <c r="D196"/>
      <c r="E196"/>
      <c r="F196"/>
    </row>
    <row r="197" spans="3:6" ht="12.75">
      <c r="C197"/>
      <c r="D197"/>
      <c r="E197"/>
      <c r="F197"/>
    </row>
    <row r="198" spans="3:6" ht="12.75">
      <c r="C198"/>
      <c r="D198"/>
      <c r="E198"/>
      <c r="F198"/>
    </row>
    <row r="199" spans="3:6" ht="12.75">
      <c r="C199"/>
      <c r="D199"/>
      <c r="E199"/>
      <c r="F199"/>
    </row>
    <row r="200" spans="3:6" ht="12.75">
      <c r="C200"/>
      <c r="D200"/>
      <c r="E200"/>
      <c r="F200"/>
    </row>
    <row r="201" spans="3:6" ht="12.75">
      <c r="C201"/>
      <c r="D201"/>
      <c r="E201"/>
      <c r="F201"/>
    </row>
    <row r="202" spans="3:6" ht="12.75">
      <c r="C202"/>
      <c r="D202"/>
      <c r="E202"/>
      <c r="F202"/>
    </row>
    <row r="203" spans="3:6" ht="12.75">
      <c r="C203"/>
      <c r="D203"/>
      <c r="E203"/>
      <c r="F203"/>
    </row>
    <row r="204" spans="3:6" ht="12.75">
      <c r="C204"/>
      <c r="D204"/>
      <c r="E204"/>
      <c r="F204"/>
    </row>
    <row r="205" spans="3:6" ht="12.75">
      <c r="C205"/>
      <c r="D205"/>
      <c r="E205"/>
      <c r="F205"/>
    </row>
    <row r="206" spans="3:6" ht="12.75">
      <c r="C206"/>
      <c r="D206"/>
      <c r="E206"/>
      <c r="F206"/>
    </row>
    <row r="207" spans="3:6" ht="12.75">
      <c r="C207"/>
      <c r="D207"/>
      <c r="E207"/>
      <c r="F207"/>
    </row>
    <row r="208" spans="3:6" ht="12.75">
      <c r="C208"/>
      <c r="D208"/>
      <c r="E208"/>
      <c r="F208"/>
    </row>
    <row r="209" spans="3:6" ht="12.75">
      <c r="C209"/>
      <c r="D209"/>
      <c r="E209"/>
      <c r="F209"/>
    </row>
    <row r="210" spans="3:6" ht="12.75">
      <c r="C210"/>
      <c r="D210"/>
      <c r="E210"/>
      <c r="F210"/>
    </row>
    <row r="211" spans="3:6" ht="12.75">
      <c r="C211"/>
      <c r="D211"/>
      <c r="E211"/>
      <c r="F211"/>
    </row>
    <row r="212" spans="3:6" ht="12.75">
      <c r="C212"/>
      <c r="D212"/>
      <c r="E212"/>
      <c r="F212"/>
    </row>
    <row r="213" spans="3:6" ht="12.75">
      <c r="C213"/>
      <c r="D213"/>
      <c r="E213"/>
      <c r="F213"/>
    </row>
    <row r="214" spans="3:6" ht="12.75">
      <c r="C214"/>
      <c r="D214"/>
      <c r="E214"/>
      <c r="F214"/>
    </row>
    <row r="215" spans="3:6" ht="12.75">
      <c r="C215"/>
      <c r="D215"/>
      <c r="E215"/>
      <c r="F215"/>
    </row>
    <row r="216" spans="3:6" ht="12.75">
      <c r="C216"/>
      <c r="D216"/>
      <c r="E216"/>
      <c r="F216"/>
    </row>
    <row r="217" spans="3:6" ht="12.75">
      <c r="C217"/>
      <c r="D217"/>
      <c r="E217"/>
      <c r="F217"/>
    </row>
    <row r="218" spans="3:6" ht="12.75">
      <c r="C218"/>
      <c r="D218"/>
      <c r="E218"/>
      <c r="F218"/>
    </row>
    <row r="219" spans="3:6" ht="12.75">
      <c r="C219"/>
      <c r="D219"/>
      <c r="E219"/>
      <c r="F219"/>
    </row>
    <row r="220" spans="3:6" ht="12.75">
      <c r="C220"/>
      <c r="D220"/>
      <c r="E220"/>
      <c r="F220"/>
    </row>
    <row r="221" spans="3:6" ht="12.75">
      <c r="C221"/>
      <c r="D221"/>
      <c r="E221"/>
      <c r="F221"/>
    </row>
    <row r="222" spans="3:6" ht="12.75">
      <c r="C222"/>
      <c r="D222"/>
      <c r="E222"/>
      <c r="F222"/>
    </row>
    <row r="223" spans="3:6" ht="12.75">
      <c r="C223"/>
      <c r="D223"/>
      <c r="E223"/>
      <c r="F223"/>
    </row>
    <row r="224" spans="3:6" ht="12.75">
      <c r="C224"/>
      <c r="D224"/>
      <c r="E224"/>
      <c r="F224"/>
    </row>
    <row r="225" spans="3:6" ht="12.75">
      <c r="C225"/>
      <c r="D225"/>
      <c r="E225"/>
      <c r="F225"/>
    </row>
    <row r="226" spans="3:6" ht="12.75">
      <c r="C226"/>
      <c r="D226"/>
      <c r="E226"/>
      <c r="F226"/>
    </row>
    <row r="227" spans="3:6" ht="12.75">
      <c r="C227"/>
      <c r="D227"/>
      <c r="E227"/>
      <c r="F227"/>
    </row>
    <row r="228" spans="3:6" ht="12.75">
      <c r="C228"/>
      <c r="D228"/>
      <c r="E228"/>
      <c r="F228"/>
    </row>
    <row r="229" spans="3:6" ht="12.75">
      <c r="C229"/>
      <c r="D229"/>
      <c r="E229"/>
      <c r="F229"/>
    </row>
    <row r="230" spans="3:6" ht="12.75">
      <c r="C230"/>
      <c r="D230"/>
      <c r="E230"/>
      <c r="F230"/>
    </row>
    <row r="231" spans="3:6" ht="12.75">
      <c r="C231"/>
      <c r="D231"/>
      <c r="E231"/>
      <c r="F231"/>
    </row>
    <row r="232" spans="3:6" ht="12.75">
      <c r="C232"/>
      <c r="D232"/>
      <c r="E232"/>
      <c r="F232"/>
    </row>
    <row r="233" spans="3:6" ht="12.75">
      <c r="C233"/>
      <c r="D233"/>
      <c r="E233"/>
      <c r="F233"/>
    </row>
    <row r="234" spans="3:6" ht="12.75">
      <c r="C234"/>
      <c r="D234"/>
      <c r="E234"/>
      <c r="F234"/>
    </row>
    <row r="235" spans="3:6" ht="12.75">
      <c r="C235"/>
      <c r="D235"/>
      <c r="E235"/>
      <c r="F235"/>
    </row>
    <row r="236" spans="3:6" ht="12.75">
      <c r="C236"/>
      <c r="D236"/>
      <c r="E236"/>
      <c r="F236"/>
    </row>
    <row r="237" spans="3:6" ht="12.75">
      <c r="C237"/>
      <c r="D237"/>
      <c r="E237"/>
      <c r="F237"/>
    </row>
    <row r="238" spans="3:6" ht="12.75">
      <c r="C238"/>
      <c r="D238"/>
      <c r="E238"/>
      <c r="F238"/>
    </row>
    <row r="239" spans="3:6" ht="12.75">
      <c r="C239"/>
      <c r="D239"/>
      <c r="E239"/>
      <c r="F239"/>
    </row>
    <row r="240" spans="3:6" ht="12.75">
      <c r="C240"/>
      <c r="D240"/>
      <c r="E240"/>
      <c r="F240"/>
    </row>
    <row r="241" spans="3:6" ht="12.75">
      <c r="C241"/>
      <c r="D241"/>
      <c r="E241"/>
      <c r="F241"/>
    </row>
    <row r="242" spans="3:6" ht="12.75">
      <c r="C242"/>
      <c r="D242"/>
      <c r="E242"/>
      <c r="F242"/>
    </row>
    <row r="243" spans="3:6" ht="12.75">
      <c r="C243"/>
      <c r="D243"/>
      <c r="E243"/>
      <c r="F243"/>
    </row>
    <row r="244" spans="3:6" ht="12.75">
      <c r="C244"/>
      <c r="D244"/>
      <c r="E244"/>
      <c r="F244"/>
    </row>
    <row r="245" spans="3:6" ht="12.75">
      <c r="C245"/>
      <c r="D245"/>
      <c r="E245"/>
      <c r="F245"/>
    </row>
    <row r="246" spans="3:6" ht="12.75">
      <c r="C246"/>
      <c r="D246"/>
      <c r="E246"/>
      <c r="F246"/>
    </row>
    <row r="247" spans="3:6" ht="12.75">
      <c r="C247"/>
      <c r="D247"/>
      <c r="E247"/>
      <c r="F247"/>
    </row>
    <row r="248" spans="3:6" ht="12.75">
      <c r="C248"/>
      <c r="D248"/>
      <c r="E248"/>
      <c r="F248"/>
    </row>
    <row r="249" spans="3:6" ht="12.75">
      <c r="C249"/>
      <c r="D249"/>
      <c r="E249"/>
      <c r="F249"/>
    </row>
    <row r="250" spans="3:6" ht="12.75">
      <c r="C250"/>
      <c r="D250"/>
      <c r="E250"/>
      <c r="F250"/>
    </row>
    <row r="251" spans="3:6" ht="12.75">
      <c r="C251"/>
      <c r="D251"/>
      <c r="E251"/>
      <c r="F251"/>
    </row>
    <row r="252" spans="3:6" ht="12.75">
      <c r="C252"/>
      <c r="D252"/>
      <c r="E252"/>
      <c r="F252"/>
    </row>
    <row r="253" spans="3:6" ht="12.75">
      <c r="C253"/>
      <c r="D253"/>
      <c r="E253"/>
      <c r="F253"/>
    </row>
    <row r="254" spans="3:6" ht="12.75">
      <c r="C254"/>
      <c r="D254"/>
      <c r="E254"/>
      <c r="F254"/>
    </row>
    <row r="255" spans="3:6" ht="12.75">
      <c r="C255"/>
      <c r="D255"/>
      <c r="E255"/>
      <c r="F255"/>
    </row>
    <row r="256" spans="3:6" ht="12.75">
      <c r="C256"/>
      <c r="D256"/>
      <c r="E256"/>
      <c r="F256"/>
    </row>
    <row r="257" spans="3:6" ht="12.75">
      <c r="C257"/>
      <c r="D257"/>
      <c r="E257"/>
      <c r="F257"/>
    </row>
    <row r="258" spans="3:6" ht="12.75">
      <c r="C258"/>
      <c r="D258"/>
      <c r="E258"/>
      <c r="F258"/>
    </row>
    <row r="259" spans="3:6" ht="12.75">
      <c r="C259"/>
      <c r="D259"/>
      <c r="E259"/>
      <c r="F259"/>
    </row>
    <row r="260" spans="3:6" ht="12.75">
      <c r="C260"/>
      <c r="D260"/>
      <c r="E260"/>
      <c r="F260"/>
    </row>
    <row r="261" spans="3:6" ht="12.75">
      <c r="C261"/>
      <c r="D261"/>
      <c r="E261"/>
      <c r="F261"/>
    </row>
    <row r="262" spans="3:6" ht="12.75">
      <c r="C262"/>
      <c r="D262"/>
      <c r="E262"/>
      <c r="F262"/>
    </row>
    <row r="263" spans="3:6" ht="12.75">
      <c r="C263"/>
      <c r="D263"/>
      <c r="E263"/>
      <c r="F263"/>
    </row>
    <row r="264" spans="3:6" ht="12.75">
      <c r="C264"/>
      <c r="D264"/>
      <c r="E264"/>
      <c r="F264"/>
    </row>
    <row r="265" spans="3:6" ht="12.75">
      <c r="C265"/>
      <c r="D265"/>
      <c r="E265"/>
      <c r="F265"/>
    </row>
    <row r="266" spans="3:6" ht="12.75">
      <c r="C266"/>
      <c r="D266"/>
      <c r="E266"/>
      <c r="F266"/>
    </row>
    <row r="267" spans="3:6" ht="12.75">
      <c r="C267"/>
      <c r="D267"/>
      <c r="E267"/>
      <c r="F267"/>
    </row>
    <row r="268" spans="3:6" ht="12.75">
      <c r="C268"/>
      <c r="D268"/>
      <c r="E268"/>
      <c r="F268"/>
    </row>
    <row r="269" spans="3:6" ht="12.75">
      <c r="C269"/>
      <c r="D269"/>
      <c r="E269"/>
      <c r="F269"/>
    </row>
    <row r="270" spans="3:6" ht="12.75">
      <c r="C270"/>
      <c r="D270"/>
      <c r="E270"/>
      <c r="F270"/>
    </row>
    <row r="271" spans="3:6" ht="12.75">
      <c r="C271"/>
      <c r="D271"/>
      <c r="E271"/>
      <c r="F271"/>
    </row>
    <row r="272" spans="3:6" ht="12.75">
      <c r="C272"/>
      <c r="D272"/>
      <c r="E272"/>
      <c r="F272"/>
    </row>
    <row r="273" spans="3:6" ht="12.75">
      <c r="C273"/>
      <c r="D273"/>
      <c r="E273"/>
      <c r="F273"/>
    </row>
    <row r="274" spans="3:6" ht="12.75">
      <c r="C274"/>
      <c r="D274"/>
      <c r="E274"/>
      <c r="F274"/>
    </row>
    <row r="275" spans="3:6" ht="12.75">
      <c r="C275"/>
      <c r="D275"/>
      <c r="E275"/>
      <c r="F275"/>
    </row>
    <row r="276" spans="3:6" ht="12.75">
      <c r="C276"/>
      <c r="D276"/>
      <c r="E276"/>
      <c r="F276"/>
    </row>
    <row r="277" spans="3:6" ht="12.75">
      <c r="C277"/>
      <c r="D277"/>
      <c r="E277"/>
      <c r="F277"/>
    </row>
    <row r="278" spans="3:6" ht="12.75">
      <c r="C278"/>
      <c r="D278"/>
      <c r="E278"/>
      <c r="F278"/>
    </row>
    <row r="279" spans="3:6" ht="12.75">
      <c r="C279"/>
      <c r="D279"/>
      <c r="E279"/>
      <c r="F279"/>
    </row>
    <row r="280" spans="3:6" ht="12.75">
      <c r="C280"/>
      <c r="D280"/>
      <c r="E280"/>
      <c r="F280"/>
    </row>
    <row r="281" spans="3:6" ht="12.75">
      <c r="C281"/>
      <c r="D281"/>
      <c r="E281"/>
      <c r="F281"/>
    </row>
    <row r="282" spans="3:6" ht="12.75">
      <c r="C282"/>
      <c r="D282"/>
      <c r="E282"/>
      <c r="F282"/>
    </row>
    <row r="283" spans="3:6" ht="12.75">
      <c r="C283"/>
      <c r="D283"/>
      <c r="E283"/>
      <c r="F283"/>
    </row>
    <row r="284" spans="3:6" ht="12.75">
      <c r="C284"/>
      <c r="D284"/>
      <c r="E284"/>
      <c r="F284"/>
    </row>
    <row r="285" spans="3:6" ht="12.75">
      <c r="C285"/>
      <c r="D285"/>
      <c r="E285"/>
      <c r="F285"/>
    </row>
    <row r="286" spans="3:6" ht="12.75">
      <c r="C286"/>
      <c r="D286"/>
      <c r="E286"/>
      <c r="F286"/>
    </row>
    <row r="287" spans="3:6" ht="12.75">
      <c r="C287"/>
      <c r="D287"/>
      <c r="E287"/>
      <c r="F287"/>
    </row>
    <row r="288" spans="3:6" ht="12.75">
      <c r="C288"/>
      <c r="D288"/>
      <c r="E288"/>
      <c r="F288"/>
    </row>
    <row r="289" spans="3:6" ht="12.75">
      <c r="C289"/>
      <c r="D289"/>
      <c r="E289"/>
      <c r="F289"/>
    </row>
    <row r="290" spans="3:6" ht="12.75">
      <c r="C290"/>
      <c r="D290"/>
      <c r="E290"/>
      <c r="F290"/>
    </row>
    <row r="291" spans="3:6" ht="12.75">
      <c r="C291"/>
      <c r="D291"/>
      <c r="E291"/>
      <c r="F291"/>
    </row>
    <row r="292" spans="3:6" ht="12.75">
      <c r="C292"/>
      <c r="D292"/>
      <c r="E292"/>
      <c r="F292"/>
    </row>
    <row r="293" spans="3:6" ht="12.75">
      <c r="C293"/>
      <c r="D293"/>
      <c r="E293"/>
      <c r="F293"/>
    </row>
    <row r="294" spans="3:6" ht="12.75">
      <c r="C294"/>
      <c r="D294"/>
      <c r="E294"/>
      <c r="F294"/>
    </row>
    <row r="295" spans="3:6" ht="12.75">
      <c r="C295"/>
      <c r="D295"/>
      <c r="E295"/>
      <c r="F295"/>
    </row>
    <row r="296" spans="3:6" ht="12.75">
      <c r="C296"/>
      <c r="D296"/>
      <c r="E296"/>
      <c r="F296"/>
    </row>
    <row r="297" spans="3:6" ht="12.75">
      <c r="C297"/>
      <c r="D297"/>
      <c r="E297"/>
      <c r="F297"/>
    </row>
    <row r="298" spans="3:6" ht="12.75">
      <c r="C298"/>
      <c r="D298"/>
      <c r="E298"/>
      <c r="F298"/>
    </row>
    <row r="299" spans="3:6" ht="12.75">
      <c r="C299"/>
      <c r="D299"/>
      <c r="E299"/>
      <c r="F299"/>
    </row>
    <row r="300" spans="3:6" ht="12.75">
      <c r="C300"/>
      <c r="D300"/>
      <c r="E300"/>
      <c r="F300"/>
    </row>
    <row r="301" spans="3:6" ht="12.75">
      <c r="C301"/>
      <c r="D301"/>
      <c r="E301"/>
      <c r="F301"/>
    </row>
    <row r="302" spans="3:6" ht="12.75">
      <c r="C302"/>
      <c r="D302"/>
      <c r="E302"/>
      <c r="F302"/>
    </row>
    <row r="303" spans="3:6" ht="12.75">
      <c r="C303"/>
      <c r="D303"/>
      <c r="E303"/>
      <c r="F303"/>
    </row>
    <row r="304" spans="3:6" ht="12.75">
      <c r="C304"/>
      <c r="D304"/>
      <c r="E304"/>
      <c r="F304"/>
    </row>
    <row r="305" spans="3:6" ht="12.75">
      <c r="C305"/>
      <c r="D305"/>
      <c r="E305"/>
      <c r="F305"/>
    </row>
    <row r="306" spans="3:6" ht="12.75">
      <c r="C306"/>
      <c r="D306"/>
      <c r="E306"/>
      <c r="F306"/>
    </row>
    <row r="307" spans="3:6" ht="12.75">
      <c r="C307"/>
      <c r="D307"/>
      <c r="E307"/>
      <c r="F307"/>
    </row>
    <row r="308" spans="3:6" ht="12.75">
      <c r="C308"/>
      <c r="D308"/>
      <c r="E308"/>
      <c r="F308"/>
    </row>
    <row r="309" spans="3:6" ht="12.75">
      <c r="C309"/>
      <c r="D309"/>
      <c r="E309"/>
      <c r="F309"/>
    </row>
    <row r="310" spans="3:6" ht="12.75">
      <c r="C310"/>
      <c r="D310"/>
      <c r="E310"/>
      <c r="F310"/>
    </row>
    <row r="311" spans="3:6" ht="12.75">
      <c r="C311"/>
      <c r="D311"/>
      <c r="E311"/>
      <c r="F311"/>
    </row>
    <row r="312" spans="3:6" ht="12.75">
      <c r="C312"/>
      <c r="D312"/>
      <c r="E312"/>
      <c r="F312"/>
    </row>
    <row r="313" spans="3:6" ht="12.75">
      <c r="C313"/>
      <c r="D313"/>
      <c r="E313"/>
      <c r="F313"/>
    </row>
    <row r="314" spans="3:6" ht="12.75">
      <c r="C314"/>
      <c r="D314"/>
      <c r="E314"/>
      <c r="F314"/>
    </row>
    <row r="315" spans="3:6" ht="12.75">
      <c r="C315"/>
      <c r="D315"/>
      <c r="E315"/>
      <c r="F315"/>
    </row>
    <row r="316" spans="3:6" ht="12.75">
      <c r="C316"/>
      <c r="D316"/>
      <c r="E316"/>
      <c r="F316"/>
    </row>
    <row r="317" spans="3:6" ht="12.75">
      <c r="C317"/>
      <c r="D317"/>
      <c r="E317"/>
      <c r="F317"/>
    </row>
    <row r="318" spans="3:6" ht="12.75">
      <c r="C318"/>
      <c r="D318"/>
      <c r="E318"/>
      <c r="F318"/>
    </row>
    <row r="319" spans="3:6" ht="12.75">
      <c r="C319"/>
      <c r="D319"/>
      <c r="E319"/>
      <c r="F319"/>
    </row>
    <row r="320" spans="3:6" ht="12.75">
      <c r="C320"/>
      <c r="D320"/>
      <c r="E320"/>
      <c r="F320"/>
    </row>
    <row r="321" spans="3:6" ht="12.75">
      <c r="C321"/>
      <c r="D321"/>
      <c r="E321"/>
      <c r="F321"/>
    </row>
    <row r="322" spans="3:6" ht="12.75">
      <c r="C322"/>
      <c r="D322"/>
      <c r="E322"/>
      <c r="F322"/>
    </row>
    <row r="323" spans="3:6" ht="12.75">
      <c r="C323"/>
      <c r="D323"/>
      <c r="E323"/>
      <c r="F323"/>
    </row>
    <row r="324" spans="3:6" ht="12.75">
      <c r="C324"/>
      <c r="D324"/>
      <c r="E324"/>
      <c r="F324"/>
    </row>
    <row r="325" spans="3:6" ht="12.75">
      <c r="C325"/>
      <c r="D325"/>
      <c r="E325"/>
      <c r="F325"/>
    </row>
    <row r="326" spans="3:6" ht="12.75">
      <c r="C326"/>
      <c r="D326"/>
      <c r="E326"/>
      <c r="F326"/>
    </row>
    <row r="327" spans="3:6" ht="12.75">
      <c r="C327"/>
      <c r="D327"/>
      <c r="E327"/>
      <c r="F327"/>
    </row>
    <row r="328" spans="3:6" ht="12.75">
      <c r="C328"/>
      <c r="D328"/>
      <c r="E328"/>
      <c r="F328"/>
    </row>
    <row r="329" spans="3:6" ht="12.75">
      <c r="C329"/>
      <c r="D329"/>
      <c r="E329"/>
      <c r="F329"/>
    </row>
    <row r="330" spans="3:6" ht="12.75">
      <c r="C330"/>
      <c r="D330"/>
      <c r="E330"/>
      <c r="F330"/>
    </row>
    <row r="331" spans="3:6" ht="12.75">
      <c r="C331"/>
      <c r="D331"/>
      <c r="E331"/>
      <c r="F331"/>
    </row>
  </sheetData>
  <sheetProtection/>
  <mergeCells count="19">
    <mergeCell ref="A36:B36"/>
    <mergeCell ref="D11:D12"/>
    <mergeCell ref="E11:E12"/>
    <mergeCell ref="A14:B14"/>
    <mergeCell ref="A15:B15"/>
    <mergeCell ref="C8:C12"/>
    <mergeCell ref="A13:B13"/>
    <mergeCell ref="A7:B12"/>
    <mergeCell ref="C7:E7"/>
    <mergeCell ref="I57:J57"/>
    <mergeCell ref="A2:H2"/>
    <mergeCell ref="A3:H3"/>
    <mergeCell ref="A4:H4"/>
    <mergeCell ref="D8:E10"/>
    <mergeCell ref="G8:H10"/>
    <mergeCell ref="F8:F12"/>
    <mergeCell ref="G11:G12"/>
    <mergeCell ref="H11:H12"/>
    <mergeCell ref="F7:H7"/>
  </mergeCells>
  <printOptions/>
  <pageMargins left="0.5" right="0.25" top="0.75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Q82"/>
  <sheetViews>
    <sheetView tabSelected="1" view="pageLayout" workbookViewId="0" topLeftCell="A1">
      <selection activeCell="N52" sqref="N52"/>
    </sheetView>
  </sheetViews>
  <sheetFormatPr defaultColWidth="9.140625" defaultRowHeight="12.75"/>
  <cols>
    <col min="1" max="1" width="4.57421875" style="5" customWidth="1"/>
    <col min="2" max="2" width="12.421875" style="5" customWidth="1"/>
    <col min="3" max="3" width="8.28125" style="5" customWidth="1"/>
    <col min="4" max="4" width="10.8515625" style="5" customWidth="1"/>
    <col min="5" max="5" width="7.7109375" style="5" customWidth="1"/>
    <col min="6" max="6" width="8.8515625" style="5" customWidth="1"/>
    <col min="7" max="7" width="7.57421875" style="5" customWidth="1"/>
    <col min="8" max="8" width="10.00390625" style="5" customWidth="1"/>
    <col min="9" max="9" width="11.28125" style="5" customWidth="1"/>
    <col min="10" max="10" width="8.57421875" style="5" customWidth="1"/>
    <col min="11" max="11" width="7.7109375" style="5" customWidth="1"/>
    <col min="12" max="12" width="7.28125" style="18" customWidth="1"/>
    <col min="13" max="13" width="8.28125" style="5" customWidth="1"/>
    <col min="14" max="14" width="9.00390625" style="5" customWidth="1"/>
    <col min="15" max="15" width="8.57421875" style="5" customWidth="1"/>
    <col min="16" max="16" width="7.421875" style="5" customWidth="1"/>
    <col min="17" max="17" width="5.7109375" style="0" customWidth="1"/>
    <col min="18" max="16384" width="9.140625" style="5" customWidth="1"/>
  </cols>
  <sheetData>
    <row r="1" spans="1:16" ht="24" customHeight="1">
      <c r="A1" s="365" t="s">
        <v>7</v>
      </c>
      <c r="B1" s="365"/>
      <c r="C1" s="41"/>
      <c r="D1" s="41"/>
      <c r="E1" s="41"/>
      <c r="F1" s="41"/>
      <c r="G1" s="41"/>
      <c r="H1" s="41"/>
      <c r="I1" s="41"/>
      <c r="J1" s="41"/>
      <c r="K1" s="41"/>
      <c r="L1" s="42"/>
      <c r="M1" s="41"/>
      <c r="N1" s="41"/>
      <c r="O1" s="41"/>
      <c r="P1" s="41"/>
    </row>
    <row r="2" spans="1:16" ht="24.75" customHeight="1">
      <c r="A2" s="366" t="s">
        <v>18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</row>
    <row r="3" spans="1:17" s="102" customFormat="1" ht="24.75" customHeight="1">
      <c r="A3" s="100"/>
      <c r="B3" s="100"/>
      <c r="C3" s="100"/>
      <c r="D3" s="100"/>
      <c r="E3" s="100"/>
      <c r="F3" s="100"/>
      <c r="G3" s="100" t="s">
        <v>145</v>
      </c>
      <c r="H3" s="100"/>
      <c r="I3" s="100"/>
      <c r="J3" s="100"/>
      <c r="K3" s="100"/>
      <c r="L3" s="100"/>
      <c r="M3" s="100"/>
      <c r="N3" s="100"/>
      <c r="O3" s="100"/>
      <c r="P3" s="100"/>
      <c r="Q3" s="101"/>
    </row>
    <row r="4" spans="1:17" s="17" customFormat="1" ht="23.25" customHeight="1">
      <c r="A4" s="366" t="s">
        <v>171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/>
    </row>
    <row r="5" spans="1:225" s="17" customFormat="1" ht="16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18"/>
      <c r="M5" s="5"/>
      <c r="N5" s="5"/>
      <c r="O5" s="5"/>
      <c r="P5" s="5"/>
      <c r="Q5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</row>
    <row r="6" spans="1:17" ht="15" customHeight="1">
      <c r="A6" s="368"/>
      <c r="B6" s="369"/>
      <c r="C6" s="374" t="s">
        <v>14</v>
      </c>
      <c r="D6" s="374"/>
      <c r="E6" s="374"/>
      <c r="F6" s="374"/>
      <c r="G6" s="374"/>
      <c r="H6" s="374"/>
      <c r="I6" s="374"/>
      <c r="J6" s="374"/>
      <c r="K6" s="374"/>
      <c r="L6" s="374"/>
      <c r="M6" s="375" t="s">
        <v>130</v>
      </c>
      <c r="N6" s="375"/>
      <c r="O6" s="375"/>
      <c r="P6" s="375"/>
      <c r="Q6" s="375"/>
    </row>
    <row r="7" spans="1:17" s="67" customFormat="1" ht="12.75">
      <c r="A7" s="370"/>
      <c r="B7" s="371"/>
      <c r="C7" s="374" t="s">
        <v>59</v>
      </c>
      <c r="D7" s="374"/>
      <c r="E7" s="374"/>
      <c r="F7" s="374"/>
      <c r="G7" s="374"/>
      <c r="H7" s="374"/>
      <c r="I7" s="374" t="s">
        <v>46</v>
      </c>
      <c r="J7" s="364" t="s">
        <v>47</v>
      </c>
      <c r="K7" s="364"/>
      <c r="L7" s="364"/>
      <c r="M7" s="376" t="s">
        <v>131</v>
      </c>
      <c r="N7" s="376" t="s">
        <v>132</v>
      </c>
      <c r="O7" s="376" t="s">
        <v>48</v>
      </c>
      <c r="P7" s="376" t="s">
        <v>49</v>
      </c>
      <c r="Q7" s="360" t="s">
        <v>161</v>
      </c>
    </row>
    <row r="8" spans="1:17" s="67" customFormat="1" ht="25.5" customHeight="1">
      <c r="A8" s="370"/>
      <c r="B8" s="371"/>
      <c r="C8" s="363" t="s">
        <v>15</v>
      </c>
      <c r="D8" s="363"/>
      <c r="E8" s="363" t="s">
        <v>16</v>
      </c>
      <c r="F8" s="363"/>
      <c r="G8" s="363" t="s">
        <v>17</v>
      </c>
      <c r="H8" s="363"/>
      <c r="I8" s="376"/>
      <c r="J8" s="364"/>
      <c r="K8" s="364"/>
      <c r="L8" s="364"/>
      <c r="M8" s="376"/>
      <c r="N8" s="376"/>
      <c r="O8" s="376"/>
      <c r="P8" s="376"/>
      <c r="Q8" s="361"/>
    </row>
    <row r="9" spans="1:17" s="67" customFormat="1" ht="17.25" customHeight="1">
      <c r="A9" s="370"/>
      <c r="B9" s="371"/>
      <c r="C9" s="376" t="s">
        <v>50</v>
      </c>
      <c r="D9" s="376" t="s">
        <v>51</v>
      </c>
      <c r="E9" s="363" t="s">
        <v>52</v>
      </c>
      <c r="F9" s="363" t="s">
        <v>53</v>
      </c>
      <c r="G9" s="363" t="s">
        <v>52</v>
      </c>
      <c r="H9" s="363" t="s">
        <v>53</v>
      </c>
      <c r="I9" s="376"/>
      <c r="J9" s="363" t="s">
        <v>9</v>
      </c>
      <c r="K9" s="363" t="s">
        <v>44</v>
      </c>
      <c r="L9" s="363"/>
      <c r="M9" s="376"/>
      <c r="N9" s="376"/>
      <c r="O9" s="376"/>
      <c r="P9" s="376"/>
      <c r="Q9" s="361"/>
    </row>
    <row r="10" spans="1:17" s="67" customFormat="1" ht="65.25" customHeight="1">
      <c r="A10" s="372"/>
      <c r="B10" s="373"/>
      <c r="C10" s="376"/>
      <c r="D10" s="376"/>
      <c r="E10" s="363"/>
      <c r="F10" s="363"/>
      <c r="G10" s="363"/>
      <c r="H10" s="363"/>
      <c r="I10" s="376"/>
      <c r="J10" s="363"/>
      <c r="K10" s="59" t="s">
        <v>1</v>
      </c>
      <c r="L10" s="59" t="s">
        <v>0</v>
      </c>
      <c r="M10" s="376"/>
      <c r="N10" s="376"/>
      <c r="O10" s="376"/>
      <c r="P10" s="376"/>
      <c r="Q10" s="362"/>
    </row>
    <row r="11" spans="1:17" s="67" customFormat="1" ht="12.75">
      <c r="A11" s="363" t="s">
        <v>40</v>
      </c>
      <c r="B11" s="363"/>
      <c r="C11" s="75">
        <v>1</v>
      </c>
      <c r="D11" s="75">
        <v>2</v>
      </c>
      <c r="E11" s="75">
        <v>3</v>
      </c>
      <c r="F11" s="75">
        <v>4</v>
      </c>
      <c r="G11" s="75">
        <v>5</v>
      </c>
      <c r="H11" s="75">
        <v>6</v>
      </c>
      <c r="I11" s="75">
        <v>7</v>
      </c>
      <c r="J11" s="75">
        <v>8</v>
      </c>
      <c r="K11" s="75">
        <v>9</v>
      </c>
      <c r="L11" s="75">
        <v>10</v>
      </c>
      <c r="M11" s="75">
        <v>11</v>
      </c>
      <c r="N11" s="75">
        <v>12</v>
      </c>
      <c r="O11" s="75">
        <v>13</v>
      </c>
      <c r="P11" s="75">
        <v>14</v>
      </c>
      <c r="Q11" s="75">
        <v>15</v>
      </c>
    </row>
    <row r="12" spans="1:17" s="67" customFormat="1" ht="29.25" customHeight="1">
      <c r="A12" s="377" t="s">
        <v>96</v>
      </c>
      <c r="B12" s="378"/>
      <c r="C12" s="177">
        <f aca="true" t="shared" si="0" ref="C12:P12">SUM(C13:C75)</f>
        <v>254520</v>
      </c>
      <c r="D12" s="177">
        <f t="shared" si="0"/>
        <v>21213939</v>
      </c>
      <c r="E12" s="177">
        <f t="shared" si="0"/>
        <v>44282</v>
      </c>
      <c r="F12" s="177">
        <f t="shared" si="0"/>
        <v>868856</v>
      </c>
      <c r="G12" s="177">
        <f t="shared" si="0"/>
        <v>30309</v>
      </c>
      <c r="H12" s="177">
        <f t="shared" si="0"/>
        <v>1066602</v>
      </c>
      <c r="I12" s="177">
        <f t="shared" si="0"/>
        <v>17501274.67</v>
      </c>
      <c r="J12" s="177">
        <f t="shared" si="0"/>
        <v>106357</v>
      </c>
      <c r="K12" s="177">
        <f t="shared" si="0"/>
        <v>89636</v>
      </c>
      <c r="L12" s="177">
        <f t="shared" si="0"/>
        <v>18616</v>
      </c>
      <c r="M12" s="177">
        <f t="shared" si="0"/>
        <v>112007</v>
      </c>
      <c r="N12" s="177">
        <f t="shared" si="0"/>
        <v>602171</v>
      </c>
      <c r="O12" s="177">
        <f t="shared" si="0"/>
        <v>106578</v>
      </c>
      <c r="P12" s="177">
        <f t="shared" si="0"/>
        <v>80973</v>
      </c>
      <c r="Q12" s="251">
        <f>P12/O12*100%</f>
        <v>0.7597534200304003</v>
      </c>
    </row>
    <row r="13" spans="1:17" s="43" customFormat="1" ht="18" customHeight="1">
      <c r="A13" s="189">
        <v>1</v>
      </c>
      <c r="B13" s="190" t="s">
        <v>175</v>
      </c>
      <c r="C13" s="182">
        <v>3853</v>
      </c>
      <c r="D13" s="182">
        <v>112390</v>
      </c>
      <c r="E13" s="182">
        <v>674</v>
      </c>
      <c r="F13" s="182">
        <v>44829</v>
      </c>
      <c r="G13" s="182">
        <v>263</v>
      </c>
      <c r="H13" s="182">
        <v>4913</v>
      </c>
      <c r="I13" s="182">
        <v>125264</v>
      </c>
      <c r="J13" s="215">
        <f>K13+L13</f>
        <v>2293</v>
      </c>
      <c r="K13" s="182">
        <v>2034</v>
      </c>
      <c r="L13" s="182">
        <v>259</v>
      </c>
      <c r="M13" s="182">
        <v>891</v>
      </c>
      <c r="N13" s="182">
        <v>8219</v>
      </c>
      <c r="O13" s="182">
        <v>3164</v>
      </c>
      <c r="P13" s="182">
        <v>2235</v>
      </c>
      <c r="Q13" s="250">
        <f>P13/O13*100%</f>
        <v>0.7063843236409608</v>
      </c>
    </row>
    <row r="14" spans="1:17" s="43" customFormat="1" ht="18" customHeight="1">
      <c r="A14" s="189">
        <v>2</v>
      </c>
      <c r="B14" s="190" t="s">
        <v>263</v>
      </c>
      <c r="C14" s="182">
        <v>260</v>
      </c>
      <c r="D14" s="182">
        <v>26400</v>
      </c>
      <c r="E14" s="182">
        <v>97</v>
      </c>
      <c r="F14" s="182">
        <v>2852</v>
      </c>
      <c r="G14" s="182">
        <v>30</v>
      </c>
      <c r="H14" s="182">
        <v>675</v>
      </c>
      <c r="I14" s="182">
        <v>21908</v>
      </c>
      <c r="J14" s="215">
        <f aca="true" t="shared" si="1" ref="J14:J30">K14+L14</f>
        <v>531</v>
      </c>
      <c r="K14" s="182">
        <v>374</v>
      </c>
      <c r="L14" s="182">
        <v>157</v>
      </c>
      <c r="M14" s="182">
        <v>152</v>
      </c>
      <c r="N14" s="182">
        <v>1122</v>
      </c>
      <c r="O14" s="182">
        <v>389</v>
      </c>
      <c r="P14" s="182">
        <v>188</v>
      </c>
      <c r="Q14" s="250">
        <f aca="true" t="shared" si="2" ref="Q14:Q30">P14/O14*100%</f>
        <v>0.4832904884318766</v>
      </c>
    </row>
    <row r="15" spans="1:17" s="43" customFormat="1" ht="18" customHeight="1">
      <c r="A15" s="189">
        <v>3</v>
      </c>
      <c r="B15" s="190" t="s">
        <v>176</v>
      </c>
      <c r="C15" s="182">
        <v>1820</v>
      </c>
      <c r="D15" s="182">
        <v>98889</v>
      </c>
      <c r="E15" s="182">
        <v>15408</v>
      </c>
      <c r="F15" s="182">
        <v>351</v>
      </c>
      <c r="G15" s="182">
        <v>9365</v>
      </c>
      <c r="H15" s="182">
        <v>17432</v>
      </c>
      <c r="I15" s="182">
        <v>6981</v>
      </c>
      <c r="J15" s="215">
        <f t="shared" si="1"/>
        <v>1692</v>
      </c>
      <c r="K15" s="182">
        <f>281+131+180+26+96+88+210+141+32+290</f>
        <v>1475</v>
      </c>
      <c r="L15" s="182">
        <f>29+28+19+28+27+34+31+21</f>
        <v>217</v>
      </c>
      <c r="M15" s="182">
        <v>2496</v>
      </c>
      <c r="N15" s="182">
        <v>17757</v>
      </c>
      <c r="O15" s="182">
        <v>1432</v>
      </c>
      <c r="P15" s="182">
        <v>1058</v>
      </c>
      <c r="Q15" s="250">
        <f t="shared" si="2"/>
        <v>0.7388268156424581</v>
      </c>
    </row>
    <row r="16" spans="1:17" s="43" customFormat="1" ht="18" customHeight="1">
      <c r="A16" s="189">
        <v>4</v>
      </c>
      <c r="B16" s="190" t="s">
        <v>177</v>
      </c>
      <c r="C16" s="182">
        <v>1728</v>
      </c>
      <c r="D16" s="182">
        <v>76484</v>
      </c>
      <c r="E16" s="182">
        <v>703</v>
      </c>
      <c r="F16" s="182">
        <v>1431</v>
      </c>
      <c r="G16" s="182">
        <v>32</v>
      </c>
      <c r="H16" s="182">
        <v>589</v>
      </c>
      <c r="I16" s="182">
        <v>13198</v>
      </c>
      <c r="J16" s="215">
        <f t="shared" si="1"/>
        <v>2149</v>
      </c>
      <c r="K16" s="182">
        <v>1971</v>
      </c>
      <c r="L16" s="182">
        <v>178</v>
      </c>
      <c r="M16" s="182">
        <v>1377</v>
      </c>
      <c r="N16" s="182">
        <v>6421</v>
      </c>
      <c r="O16" s="182">
        <v>571</v>
      </c>
      <c r="P16" s="182">
        <v>448</v>
      </c>
      <c r="Q16" s="250">
        <f t="shared" si="2"/>
        <v>0.7845884413309983</v>
      </c>
    </row>
    <row r="17" spans="1:17" s="43" customFormat="1" ht="18" customHeight="1">
      <c r="A17" s="189">
        <v>5</v>
      </c>
      <c r="B17" s="190" t="s">
        <v>178</v>
      </c>
      <c r="C17" s="182">
        <v>13535</v>
      </c>
      <c r="D17" s="182">
        <v>411737</v>
      </c>
      <c r="E17" s="182">
        <v>159</v>
      </c>
      <c r="F17" s="182">
        <v>4657</v>
      </c>
      <c r="G17" s="182">
        <v>978</v>
      </c>
      <c r="H17" s="182">
        <v>37456</v>
      </c>
      <c r="I17" s="182">
        <v>175296</v>
      </c>
      <c r="J17" s="215">
        <f t="shared" si="1"/>
        <v>1601</v>
      </c>
      <c r="K17" s="182">
        <v>1430</v>
      </c>
      <c r="L17" s="182">
        <v>171</v>
      </c>
      <c r="M17" s="182">
        <v>541</v>
      </c>
      <c r="N17" s="182">
        <v>2694</v>
      </c>
      <c r="O17" s="182">
        <v>1488</v>
      </c>
      <c r="P17" s="182">
        <v>908</v>
      </c>
      <c r="Q17" s="250">
        <f t="shared" si="2"/>
        <v>0.6102150537634409</v>
      </c>
    </row>
    <row r="18" spans="1:17" s="43" customFormat="1" ht="18" customHeight="1">
      <c r="A18" s="189">
        <v>6</v>
      </c>
      <c r="B18" s="190" t="s">
        <v>179</v>
      </c>
      <c r="C18" s="182">
        <v>579</v>
      </c>
      <c r="D18" s="182">
        <v>55696</v>
      </c>
      <c r="E18" s="182">
        <v>236</v>
      </c>
      <c r="F18" s="182">
        <v>10077</v>
      </c>
      <c r="G18" s="182">
        <v>35</v>
      </c>
      <c r="H18" s="182">
        <v>494</v>
      </c>
      <c r="I18" s="182">
        <v>162622</v>
      </c>
      <c r="J18" s="215">
        <f t="shared" si="1"/>
        <v>366</v>
      </c>
      <c r="K18" s="182">
        <v>291</v>
      </c>
      <c r="L18" s="182">
        <v>75</v>
      </c>
      <c r="M18" s="182">
        <v>706</v>
      </c>
      <c r="N18" s="182">
        <v>4379</v>
      </c>
      <c r="O18" s="182">
        <v>914</v>
      </c>
      <c r="P18" s="182">
        <v>613</v>
      </c>
      <c r="Q18" s="250">
        <f t="shared" si="2"/>
        <v>0.6706783369803063</v>
      </c>
    </row>
    <row r="19" spans="1:17" s="43" customFormat="1" ht="18" customHeight="1">
      <c r="A19" s="189">
        <v>7</v>
      </c>
      <c r="B19" s="190" t="s">
        <v>180</v>
      </c>
      <c r="C19" s="182">
        <v>21210</v>
      </c>
      <c r="D19" s="182">
        <v>370843</v>
      </c>
      <c r="E19" s="182">
        <v>353</v>
      </c>
      <c r="F19" s="182">
        <v>5631</v>
      </c>
      <c r="G19" s="182">
        <v>158</v>
      </c>
      <c r="H19" s="182">
        <v>2534</v>
      </c>
      <c r="I19" s="182">
        <v>244920</v>
      </c>
      <c r="J19" s="215">
        <f t="shared" si="1"/>
        <v>2698</v>
      </c>
      <c r="K19" s="182">
        <v>2473</v>
      </c>
      <c r="L19" s="182">
        <v>225</v>
      </c>
      <c r="M19" s="182">
        <v>983</v>
      </c>
      <c r="N19" s="182">
        <v>7410</v>
      </c>
      <c r="O19" s="182">
        <v>2045</v>
      </c>
      <c r="P19" s="182">
        <v>1404</v>
      </c>
      <c r="Q19" s="250">
        <f t="shared" si="2"/>
        <v>0.6865525672371638</v>
      </c>
    </row>
    <row r="20" spans="1:17" s="43" customFormat="1" ht="18" customHeight="1">
      <c r="A20" s="189">
        <v>8</v>
      </c>
      <c r="B20" s="190" t="s">
        <v>181</v>
      </c>
      <c r="C20" s="182">
        <v>2749</v>
      </c>
      <c r="D20" s="182">
        <v>345868</v>
      </c>
      <c r="E20" s="182">
        <v>194</v>
      </c>
      <c r="F20" s="182">
        <v>6440</v>
      </c>
      <c r="G20" s="182">
        <v>186</v>
      </c>
      <c r="H20" s="182">
        <v>52946</v>
      </c>
      <c r="I20" s="182">
        <v>213611</v>
      </c>
      <c r="J20" s="215">
        <f t="shared" si="1"/>
        <v>1921</v>
      </c>
      <c r="K20" s="182">
        <v>1548</v>
      </c>
      <c r="L20" s="182">
        <v>373</v>
      </c>
      <c r="M20" s="182">
        <v>1126</v>
      </c>
      <c r="N20" s="182">
        <v>7881</v>
      </c>
      <c r="O20" s="182">
        <v>1798</v>
      </c>
      <c r="P20" s="182">
        <v>1280</v>
      </c>
      <c r="Q20" s="250">
        <f t="shared" si="2"/>
        <v>0.7119021134593994</v>
      </c>
    </row>
    <row r="21" spans="1:17" s="43" customFormat="1" ht="15.75" customHeight="1">
      <c r="A21" s="189">
        <v>9</v>
      </c>
      <c r="B21" s="190" t="s">
        <v>182</v>
      </c>
      <c r="C21" s="182">
        <v>13198</v>
      </c>
      <c r="D21" s="182">
        <v>644516</v>
      </c>
      <c r="E21" s="182">
        <v>154</v>
      </c>
      <c r="F21" s="182">
        <v>1180</v>
      </c>
      <c r="G21" s="182">
        <v>269</v>
      </c>
      <c r="H21" s="182">
        <v>1636</v>
      </c>
      <c r="I21" s="182">
        <v>283045</v>
      </c>
      <c r="J21" s="215">
        <f t="shared" si="1"/>
        <v>867</v>
      </c>
      <c r="K21" s="182">
        <v>782</v>
      </c>
      <c r="L21" s="182">
        <v>85</v>
      </c>
      <c r="M21" s="182">
        <v>287</v>
      </c>
      <c r="N21" s="182">
        <v>2058</v>
      </c>
      <c r="O21" s="182">
        <v>852</v>
      </c>
      <c r="P21" s="182">
        <v>584</v>
      </c>
      <c r="Q21" s="250">
        <f t="shared" si="2"/>
        <v>0.6854460093896714</v>
      </c>
    </row>
    <row r="22" spans="1:17" s="43" customFormat="1" ht="18" customHeight="1">
      <c r="A22" s="189">
        <v>10</v>
      </c>
      <c r="B22" s="190" t="s">
        <v>183</v>
      </c>
      <c r="C22" s="182">
        <v>148</v>
      </c>
      <c r="D22" s="182">
        <v>26450</v>
      </c>
      <c r="E22" s="216" t="s">
        <v>292</v>
      </c>
      <c r="F22" s="216" t="s">
        <v>292</v>
      </c>
      <c r="G22" s="182">
        <v>195</v>
      </c>
      <c r="H22" s="182">
        <v>2125</v>
      </c>
      <c r="I22" s="182">
        <v>26700</v>
      </c>
      <c r="J22" s="215">
        <f t="shared" si="1"/>
        <v>1385</v>
      </c>
      <c r="K22" s="182">
        <v>1168</v>
      </c>
      <c r="L22" s="182">
        <v>217</v>
      </c>
      <c r="M22" s="182">
        <v>841</v>
      </c>
      <c r="N22" s="182">
        <v>5464</v>
      </c>
      <c r="O22" s="182">
        <v>812</v>
      </c>
      <c r="P22" s="182">
        <v>521</v>
      </c>
      <c r="Q22" s="250">
        <f t="shared" si="2"/>
        <v>0.6416256157635468</v>
      </c>
    </row>
    <row r="23" spans="1:17" s="43" customFormat="1" ht="18" customHeight="1">
      <c r="A23" s="189">
        <v>11</v>
      </c>
      <c r="B23" s="190" t="s">
        <v>184</v>
      </c>
      <c r="C23" s="182">
        <v>5867</v>
      </c>
      <c r="D23" s="182">
        <v>184339</v>
      </c>
      <c r="E23" s="182">
        <v>129</v>
      </c>
      <c r="F23" s="182">
        <v>3625</v>
      </c>
      <c r="G23" s="182">
        <v>176</v>
      </c>
      <c r="H23" s="182">
        <v>1176</v>
      </c>
      <c r="I23" s="182">
        <v>126538</v>
      </c>
      <c r="J23" s="215">
        <f t="shared" si="1"/>
        <v>1136</v>
      </c>
      <c r="K23" s="182">
        <v>980</v>
      </c>
      <c r="L23" s="182">
        <v>156</v>
      </c>
      <c r="M23" s="182">
        <v>569</v>
      </c>
      <c r="N23" s="182">
        <v>3743</v>
      </c>
      <c r="O23" s="182">
        <v>1350</v>
      </c>
      <c r="P23" s="182">
        <v>907</v>
      </c>
      <c r="Q23" s="250">
        <f t="shared" si="2"/>
        <v>0.6718518518518518</v>
      </c>
    </row>
    <row r="24" spans="1:17" s="43" customFormat="1" ht="18" customHeight="1">
      <c r="A24" s="189">
        <v>12</v>
      </c>
      <c r="B24" s="190" t="s">
        <v>185</v>
      </c>
      <c r="C24" s="182">
        <v>8441</v>
      </c>
      <c r="D24" s="182">
        <v>239442</v>
      </c>
      <c r="E24" s="182">
        <v>291</v>
      </c>
      <c r="F24" s="182">
        <v>32685</v>
      </c>
      <c r="G24" s="182">
        <v>212</v>
      </c>
      <c r="H24" s="182">
        <v>142804</v>
      </c>
      <c r="I24" s="182">
        <v>18328</v>
      </c>
      <c r="J24" s="215">
        <f t="shared" si="1"/>
        <v>1345</v>
      </c>
      <c r="K24" s="182">
        <v>997</v>
      </c>
      <c r="L24" s="182">
        <v>348</v>
      </c>
      <c r="M24" s="182">
        <v>870</v>
      </c>
      <c r="N24" s="182">
        <v>5785</v>
      </c>
      <c r="O24" s="182">
        <v>1886</v>
      </c>
      <c r="P24" s="182">
        <v>1394</v>
      </c>
      <c r="Q24" s="250">
        <f t="shared" si="2"/>
        <v>0.7391304347826086</v>
      </c>
    </row>
    <row r="25" spans="1:17" s="43" customFormat="1" ht="18" customHeight="1">
      <c r="A25" s="189">
        <v>13</v>
      </c>
      <c r="B25" s="190" t="s">
        <v>186</v>
      </c>
      <c r="C25" s="182">
        <f>24+283+173+9959</f>
        <v>10439</v>
      </c>
      <c r="D25" s="182">
        <f>3096+11634+6442+114328</f>
        <v>135500</v>
      </c>
      <c r="E25" s="182">
        <v>197</v>
      </c>
      <c r="F25" s="182">
        <v>29128</v>
      </c>
      <c r="G25" s="182">
        <v>88</v>
      </c>
      <c r="H25" s="182">
        <v>40407</v>
      </c>
      <c r="I25" s="182">
        <f>230000+30275+6442+114328</f>
        <v>381045</v>
      </c>
      <c r="J25" s="215">
        <f t="shared" si="1"/>
        <v>1231</v>
      </c>
      <c r="K25" s="182">
        <v>907</v>
      </c>
      <c r="L25" s="182">
        <v>324</v>
      </c>
      <c r="M25" s="182">
        <v>587</v>
      </c>
      <c r="N25" s="182">
        <v>4227</v>
      </c>
      <c r="O25" s="182">
        <v>2230</v>
      </c>
      <c r="P25" s="182">
        <v>1554</v>
      </c>
      <c r="Q25" s="250">
        <f t="shared" si="2"/>
        <v>0.6968609865470852</v>
      </c>
    </row>
    <row r="26" spans="1:17" s="43" customFormat="1" ht="15.75" customHeight="1">
      <c r="A26" s="189">
        <v>14</v>
      </c>
      <c r="B26" s="190" t="s">
        <v>187</v>
      </c>
      <c r="C26" s="182">
        <v>410</v>
      </c>
      <c r="D26" s="182">
        <v>20572</v>
      </c>
      <c r="E26" s="308">
        <v>199</v>
      </c>
      <c r="F26" s="308">
        <v>3781</v>
      </c>
      <c r="G26" s="182">
        <v>22</v>
      </c>
      <c r="H26" s="182">
        <v>501</v>
      </c>
      <c r="I26" s="308">
        <v>1558</v>
      </c>
      <c r="J26" s="215">
        <f t="shared" si="1"/>
        <v>642</v>
      </c>
      <c r="K26" s="182">
        <v>532</v>
      </c>
      <c r="L26" s="182">
        <v>110</v>
      </c>
      <c r="M26" s="182">
        <v>2391</v>
      </c>
      <c r="N26" s="182">
        <v>10795</v>
      </c>
      <c r="O26" s="182">
        <v>507</v>
      </c>
      <c r="P26" s="182">
        <v>469</v>
      </c>
      <c r="Q26" s="250">
        <f t="shared" si="2"/>
        <v>0.9250493096646942</v>
      </c>
    </row>
    <row r="27" spans="1:17" s="43" customFormat="1" ht="18" customHeight="1">
      <c r="A27" s="189">
        <v>15</v>
      </c>
      <c r="B27" s="190" t="s">
        <v>188</v>
      </c>
      <c r="C27" s="182">
        <v>1063</v>
      </c>
      <c r="D27" s="182">
        <v>98790</v>
      </c>
      <c r="E27" s="182">
        <v>791</v>
      </c>
      <c r="F27" s="182">
        <v>2237</v>
      </c>
      <c r="G27" s="182">
        <v>13</v>
      </c>
      <c r="H27" s="182">
        <v>396</v>
      </c>
      <c r="I27" s="182">
        <v>84596</v>
      </c>
      <c r="J27" s="215">
        <f t="shared" si="1"/>
        <v>1440</v>
      </c>
      <c r="K27" s="182">
        <v>1255</v>
      </c>
      <c r="L27" s="182">
        <v>185</v>
      </c>
      <c r="M27" s="182">
        <v>1944</v>
      </c>
      <c r="N27" s="182">
        <v>7367</v>
      </c>
      <c r="O27" s="182">
        <v>853</v>
      </c>
      <c r="P27" s="182">
        <v>724</v>
      </c>
      <c r="Q27" s="250">
        <f t="shared" si="2"/>
        <v>0.8487690504103166</v>
      </c>
    </row>
    <row r="28" spans="1:17" s="43" customFormat="1" ht="18" customHeight="1">
      <c r="A28" s="189">
        <v>16</v>
      </c>
      <c r="B28" s="190" t="s">
        <v>189</v>
      </c>
      <c r="C28" s="182">
        <v>234</v>
      </c>
      <c r="D28" s="182">
        <v>29607</v>
      </c>
      <c r="E28" s="182">
        <v>197</v>
      </c>
      <c r="F28" s="182">
        <v>6528</v>
      </c>
      <c r="G28" s="182">
        <v>803</v>
      </c>
      <c r="H28" s="182">
        <v>13244</v>
      </c>
      <c r="I28" s="182">
        <v>493631</v>
      </c>
      <c r="J28" s="215">
        <f t="shared" si="1"/>
        <v>4770</v>
      </c>
      <c r="K28" s="182">
        <v>4029</v>
      </c>
      <c r="L28" s="182">
        <v>741</v>
      </c>
      <c r="M28" s="182">
        <v>2437</v>
      </c>
      <c r="N28" s="182">
        <v>12777</v>
      </c>
      <c r="O28" s="182">
        <v>1541</v>
      </c>
      <c r="P28" s="182">
        <v>1456</v>
      </c>
      <c r="Q28" s="250">
        <f t="shared" si="2"/>
        <v>0.9448410123296561</v>
      </c>
    </row>
    <row r="29" spans="1:17" s="43" customFormat="1" ht="18" customHeight="1">
      <c r="A29" s="189">
        <v>17</v>
      </c>
      <c r="B29" s="190" t="s">
        <v>190</v>
      </c>
      <c r="C29" s="182">
        <v>336</v>
      </c>
      <c r="D29" s="182">
        <v>28396</v>
      </c>
      <c r="E29" s="182">
        <v>159</v>
      </c>
      <c r="F29" s="182">
        <v>1433</v>
      </c>
      <c r="G29" s="182">
        <v>86</v>
      </c>
      <c r="H29" s="182">
        <v>1666</v>
      </c>
      <c r="I29" s="182">
        <v>12743</v>
      </c>
      <c r="J29" s="215">
        <f t="shared" si="1"/>
        <v>361</v>
      </c>
      <c r="K29" s="182">
        <v>157</v>
      </c>
      <c r="L29" s="182">
        <v>204</v>
      </c>
      <c r="M29" s="182">
        <v>708</v>
      </c>
      <c r="N29" s="182">
        <v>3187</v>
      </c>
      <c r="O29" s="182">
        <v>496</v>
      </c>
      <c r="P29" s="182">
        <v>317</v>
      </c>
      <c r="Q29" s="250">
        <f t="shared" si="2"/>
        <v>0.6391129032258065</v>
      </c>
    </row>
    <row r="30" spans="1:17" s="43" customFormat="1" ht="18" customHeight="1">
      <c r="A30" s="189">
        <v>18</v>
      </c>
      <c r="B30" s="190" t="s">
        <v>191</v>
      </c>
      <c r="C30" s="182">
        <v>751</v>
      </c>
      <c r="D30" s="182">
        <v>53439</v>
      </c>
      <c r="E30" s="182">
        <v>100</v>
      </c>
      <c r="F30" s="182">
        <v>36000</v>
      </c>
      <c r="G30" s="182">
        <v>27</v>
      </c>
      <c r="H30" s="182">
        <v>25000</v>
      </c>
      <c r="I30" s="182">
        <v>12500</v>
      </c>
      <c r="J30" s="215">
        <f t="shared" si="1"/>
        <v>3008</v>
      </c>
      <c r="K30" s="182">
        <v>2561</v>
      </c>
      <c r="L30" s="182">
        <v>447</v>
      </c>
      <c r="M30" s="182">
        <v>1375</v>
      </c>
      <c r="N30" s="182">
        <v>5992</v>
      </c>
      <c r="O30" s="182">
        <v>289</v>
      </c>
      <c r="P30" s="182">
        <v>194</v>
      </c>
      <c r="Q30" s="250">
        <f t="shared" si="2"/>
        <v>0.671280276816609</v>
      </c>
    </row>
    <row r="31" spans="1:17" s="43" customFormat="1" ht="18" customHeight="1">
      <c r="A31" s="189">
        <v>19</v>
      </c>
      <c r="B31" s="196" t="s">
        <v>211</v>
      </c>
      <c r="C31" s="182">
        <v>2208</v>
      </c>
      <c r="D31" s="182">
        <v>325712</v>
      </c>
      <c r="E31" s="182">
        <v>318</v>
      </c>
      <c r="F31" s="182">
        <v>4845</v>
      </c>
      <c r="G31" s="182">
        <v>283</v>
      </c>
      <c r="H31" s="182">
        <v>4909</v>
      </c>
      <c r="I31" s="182">
        <v>207819</v>
      </c>
      <c r="J31" s="215">
        <f>K31+L31</f>
        <v>1214</v>
      </c>
      <c r="K31" s="182">
        <v>905</v>
      </c>
      <c r="L31" s="182">
        <f>217+92</f>
        <v>309</v>
      </c>
      <c r="M31" s="182">
        <v>762</v>
      </c>
      <c r="N31" s="182">
        <v>4470</v>
      </c>
      <c r="O31" s="182">
        <v>1385</v>
      </c>
      <c r="P31" s="182">
        <v>991</v>
      </c>
      <c r="Q31" s="250">
        <f>P31/O31*100%</f>
        <v>0.7155234657039711</v>
      </c>
    </row>
    <row r="32" spans="1:17" s="43" customFormat="1" ht="18" customHeight="1">
      <c r="A32" s="189">
        <v>20</v>
      </c>
      <c r="B32" s="196" t="s">
        <v>212</v>
      </c>
      <c r="C32" s="182">
        <v>2544</v>
      </c>
      <c r="D32" s="182">
        <v>100294</v>
      </c>
      <c r="E32" s="182">
        <v>500</v>
      </c>
      <c r="F32" s="182">
        <v>6411</v>
      </c>
      <c r="G32" s="182">
        <v>117</v>
      </c>
      <c r="H32" s="182">
        <v>1030</v>
      </c>
      <c r="I32" s="182">
        <v>39869</v>
      </c>
      <c r="J32" s="215">
        <f aca="true" t="shared" si="3" ref="J32:J56">K32+L32</f>
        <v>194</v>
      </c>
      <c r="K32" s="182">
        <v>13</v>
      </c>
      <c r="L32" s="182">
        <v>181</v>
      </c>
      <c r="M32" s="182">
        <v>350</v>
      </c>
      <c r="N32" s="182">
        <v>2224</v>
      </c>
      <c r="O32" s="182">
        <v>2347</v>
      </c>
      <c r="P32" s="182">
        <v>1547</v>
      </c>
      <c r="Q32" s="250">
        <f aca="true" t="shared" si="4" ref="Q32:Q47">P32/O32*100%</f>
        <v>0.6591393268001704</v>
      </c>
    </row>
    <row r="33" spans="1:17" s="43" customFormat="1" ht="18" customHeight="1">
      <c r="A33" s="189">
        <v>21</v>
      </c>
      <c r="B33" s="196" t="s">
        <v>213</v>
      </c>
      <c r="C33" s="182">
        <v>4516</v>
      </c>
      <c r="D33" s="182">
        <v>6505263</v>
      </c>
      <c r="E33" s="182">
        <v>195</v>
      </c>
      <c r="F33" s="182">
        <v>9149</v>
      </c>
      <c r="G33" s="182">
        <v>527</v>
      </c>
      <c r="H33" s="182">
        <v>27112</v>
      </c>
      <c r="I33" s="182">
        <v>132024</v>
      </c>
      <c r="J33" s="215">
        <f t="shared" si="3"/>
        <v>2678</v>
      </c>
      <c r="K33" s="182">
        <v>2250</v>
      </c>
      <c r="L33" s="182">
        <f>384+44</f>
        <v>428</v>
      </c>
      <c r="M33" s="182">
        <v>2114</v>
      </c>
      <c r="N33" s="182">
        <v>10232</v>
      </c>
      <c r="O33" s="182">
        <v>894</v>
      </c>
      <c r="P33" s="182">
        <v>690</v>
      </c>
      <c r="Q33" s="250">
        <f t="shared" si="4"/>
        <v>0.7718120805369127</v>
      </c>
    </row>
    <row r="34" spans="1:17" s="43" customFormat="1" ht="18" customHeight="1">
      <c r="A34" s="189">
        <v>22</v>
      </c>
      <c r="B34" s="196" t="s">
        <v>214</v>
      </c>
      <c r="C34" s="185" t="s">
        <v>290</v>
      </c>
      <c r="D34" s="185" t="s">
        <v>290</v>
      </c>
      <c r="E34" s="185" t="s">
        <v>290</v>
      </c>
      <c r="F34" s="185" t="s">
        <v>290</v>
      </c>
      <c r="G34" s="185" t="s">
        <v>290</v>
      </c>
      <c r="H34" s="185" t="s">
        <v>290</v>
      </c>
      <c r="I34" s="185" t="s">
        <v>290</v>
      </c>
      <c r="J34" s="215" t="s">
        <v>290</v>
      </c>
      <c r="K34" s="185" t="s">
        <v>290</v>
      </c>
      <c r="L34" s="185" t="s">
        <v>290</v>
      </c>
      <c r="M34" s="185" t="s">
        <v>290</v>
      </c>
      <c r="N34" s="185" t="s">
        <v>290</v>
      </c>
      <c r="O34" s="185" t="s">
        <v>290</v>
      </c>
      <c r="P34" s="185" t="s">
        <v>290</v>
      </c>
      <c r="Q34" s="250" t="s">
        <v>290</v>
      </c>
    </row>
    <row r="35" spans="1:17" s="43" customFormat="1" ht="18" customHeight="1">
      <c r="A35" s="189">
        <v>23</v>
      </c>
      <c r="B35" s="196" t="s">
        <v>215</v>
      </c>
      <c r="C35" s="182">
        <v>208</v>
      </c>
      <c r="D35" s="182">
        <v>14928</v>
      </c>
      <c r="E35" s="182">
        <v>116</v>
      </c>
      <c r="F35" s="182">
        <v>7500</v>
      </c>
      <c r="G35" s="182">
        <v>37</v>
      </c>
      <c r="H35" s="182">
        <v>1550</v>
      </c>
      <c r="I35" s="182">
        <v>3000</v>
      </c>
      <c r="J35" s="215">
        <f t="shared" si="3"/>
        <v>478</v>
      </c>
      <c r="K35" s="182">
        <v>327</v>
      </c>
      <c r="L35" s="182">
        <f>94+57</f>
        <v>151</v>
      </c>
      <c r="M35" s="182">
        <v>1303</v>
      </c>
      <c r="N35" s="182">
        <v>1303</v>
      </c>
      <c r="O35" s="182">
        <v>1628</v>
      </c>
      <c r="P35" s="182">
        <v>1285</v>
      </c>
      <c r="Q35" s="250">
        <f t="shared" si="4"/>
        <v>0.7893120393120393</v>
      </c>
    </row>
    <row r="36" spans="1:17" s="43" customFormat="1" ht="18" customHeight="1">
      <c r="A36" s="195">
        <v>24</v>
      </c>
      <c r="B36" s="200" t="s">
        <v>216</v>
      </c>
      <c r="C36" s="182">
        <v>5763</v>
      </c>
      <c r="D36" s="182">
        <v>459078</v>
      </c>
      <c r="E36" s="182">
        <v>3844</v>
      </c>
      <c r="F36" s="182">
        <v>42900</v>
      </c>
      <c r="G36" s="182">
        <v>2198</v>
      </c>
      <c r="H36" s="182">
        <v>36020</v>
      </c>
      <c r="I36" s="182">
        <v>594000</v>
      </c>
      <c r="J36" s="215">
        <f t="shared" si="3"/>
        <v>6025</v>
      </c>
      <c r="K36" s="182">
        <v>5191</v>
      </c>
      <c r="L36" s="182">
        <f>750+84</f>
        <v>834</v>
      </c>
      <c r="M36" s="182">
        <v>5735</v>
      </c>
      <c r="N36" s="182">
        <v>32989</v>
      </c>
      <c r="O36" s="182">
        <v>8634</v>
      </c>
      <c r="P36" s="182">
        <v>7432</v>
      </c>
      <c r="Q36" s="250">
        <f t="shared" si="4"/>
        <v>0.8607829511234654</v>
      </c>
    </row>
    <row r="37" spans="1:17" s="43" customFormat="1" ht="18" customHeight="1">
      <c r="A37" s="189">
        <v>25</v>
      </c>
      <c r="B37" s="196" t="s">
        <v>217</v>
      </c>
      <c r="C37" s="182">
        <v>3945</v>
      </c>
      <c r="D37" s="182">
        <v>416687</v>
      </c>
      <c r="E37" s="182">
        <v>530</v>
      </c>
      <c r="F37" s="182">
        <v>23955</v>
      </c>
      <c r="G37" s="182">
        <v>175</v>
      </c>
      <c r="H37" s="182">
        <v>16839</v>
      </c>
      <c r="I37" s="182">
        <v>49442</v>
      </c>
      <c r="J37" s="215">
        <f t="shared" si="3"/>
        <v>1726</v>
      </c>
      <c r="K37" s="182">
        <v>1412</v>
      </c>
      <c r="L37" s="182">
        <f>283+31</f>
        <v>314</v>
      </c>
      <c r="M37" s="182">
        <v>2981</v>
      </c>
      <c r="N37" s="182">
        <v>18758</v>
      </c>
      <c r="O37" s="182">
        <v>2282</v>
      </c>
      <c r="P37" s="182">
        <v>1811</v>
      </c>
      <c r="Q37" s="250">
        <f t="shared" si="4"/>
        <v>0.7936021034180544</v>
      </c>
    </row>
    <row r="38" spans="1:17" s="43" customFormat="1" ht="18" customHeight="1">
      <c r="A38" s="189">
        <v>26</v>
      </c>
      <c r="B38" s="196" t="s">
        <v>218</v>
      </c>
      <c r="C38" s="182">
        <v>2586</v>
      </c>
      <c r="D38" s="182">
        <v>115012</v>
      </c>
      <c r="E38" s="182">
        <v>1032</v>
      </c>
      <c r="F38" s="182">
        <v>36467</v>
      </c>
      <c r="G38" s="182">
        <v>280</v>
      </c>
      <c r="H38" s="182">
        <v>25508</v>
      </c>
      <c r="I38" s="182">
        <v>589624</v>
      </c>
      <c r="J38" s="215">
        <f t="shared" si="3"/>
        <v>2833</v>
      </c>
      <c r="K38" s="182">
        <v>2588</v>
      </c>
      <c r="L38" s="182">
        <f>200+45</f>
        <v>245</v>
      </c>
      <c r="M38" s="182">
        <v>1466</v>
      </c>
      <c r="N38" s="182">
        <v>10242</v>
      </c>
      <c r="O38" s="182">
        <v>2751</v>
      </c>
      <c r="P38" s="182">
        <v>2032</v>
      </c>
      <c r="Q38" s="250">
        <f t="shared" si="4"/>
        <v>0.7386404943656852</v>
      </c>
    </row>
    <row r="39" spans="1:17" s="43" customFormat="1" ht="18" customHeight="1">
      <c r="A39" s="189">
        <v>27</v>
      </c>
      <c r="B39" s="196" t="s">
        <v>219</v>
      </c>
      <c r="C39" s="182">
        <v>2854</v>
      </c>
      <c r="D39" s="182">
        <v>226092</v>
      </c>
      <c r="E39" s="182">
        <v>963</v>
      </c>
      <c r="F39" s="182">
        <v>16276</v>
      </c>
      <c r="G39" s="182">
        <v>260</v>
      </c>
      <c r="H39" s="182">
        <v>8538</v>
      </c>
      <c r="I39" s="182">
        <v>1477119</v>
      </c>
      <c r="J39" s="215">
        <f t="shared" si="3"/>
        <v>1821</v>
      </c>
      <c r="K39" s="182">
        <v>1624</v>
      </c>
      <c r="L39" s="182">
        <f>147+50</f>
        <v>197</v>
      </c>
      <c r="M39" s="182">
        <v>2512</v>
      </c>
      <c r="N39" s="182">
        <v>13673</v>
      </c>
      <c r="O39" s="182">
        <v>2293</v>
      </c>
      <c r="P39" s="182">
        <v>1689</v>
      </c>
      <c r="Q39" s="250">
        <f t="shared" si="4"/>
        <v>0.7365896205843873</v>
      </c>
    </row>
    <row r="40" spans="1:17" s="43" customFormat="1" ht="18" customHeight="1">
      <c r="A40" s="189">
        <v>28</v>
      </c>
      <c r="B40" s="196" t="s">
        <v>220</v>
      </c>
      <c r="C40" s="182">
        <v>3377</v>
      </c>
      <c r="D40" s="182">
        <v>58704</v>
      </c>
      <c r="E40" s="182">
        <v>144</v>
      </c>
      <c r="F40" s="182">
        <v>16346</v>
      </c>
      <c r="G40" s="182">
        <v>62</v>
      </c>
      <c r="H40" s="182">
        <v>3666</v>
      </c>
      <c r="I40" s="182">
        <v>71276</v>
      </c>
      <c r="J40" s="215">
        <f t="shared" si="3"/>
        <v>1411</v>
      </c>
      <c r="K40" s="182">
        <v>1073</v>
      </c>
      <c r="L40" s="182">
        <f>163+175</f>
        <v>338</v>
      </c>
      <c r="M40" s="182">
        <v>530</v>
      </c>
      <c r="N40" s="182">
        <v>3408</v>
      </c>
      <c r="O40" s="182">
        <v>1748</v>
      </c>
      <c r="P40" s="182">
        <v>1328</v>
      </c>
      <c r="Q40" s="250">
        <f t="shared" si="4"/>
        <v>0.7597254004576659</v>
      </c>
    </row>
    <row r="41" spans="1:17" s="43" customFormat="1" ht="18" customHeight="1">
      <c r="A41" s="189">
        <v>29</v>
      </c>
      <c r="B41" s="196" t="s">
        <v>221</v>
      </c>
      <c r="C41" s="182">
        <v>1578</v>
      </c>
      <c r="D41" s="182">
        <v>112110</v>
      </c>
      <c r="E41" s="182">
        <v>352</v>
      </c>
      <c r="F41" s="182">
        <v>16636</v>
      </c>
      <c r="G41" s="182">
        <v>165</v>
      </c>
      <c r="H41" s="182">
        <v>2721</v>
      </c>
      <c r="I41" s="182">
        <v>17962</v>
      </c>
      <c r="J41" s="215">
        <f t="shared" si="3"/>
        <v>1633</v>
      </c>
      <c r="K41" s="182">
        <v>1439</v>
      </c>
      <c r="L41" s="182">
        <f>150+44</f>
        <v>194</v>
      </c>
      <c r="M41" s="182">
        <v>2012</v>
      </c>
      <c r="N41" s="182">
        <v>11192</v>
      </c>
      <c r="O41" s="182">
        <v>851</v>
      </c>
      <c r="P41" s="182">
        <v>645</v>
      </c>
      <c r="Q41" s="250">
        <f t="shared" si="4"/>
        <v>0.7579318448883666</v>
      </c>
    </row>
    <row r="42" spans="1:17" s="43" customFormat="1" ht="18" customHeight="1">
      <c r="A42" s="189">
        <v>30</v>
      </c>
      <c r="B42" s="196" t="s">
        <v>222</v>
      </c>
      <c r="C42" s="182">
        <v>1136</v>
      </c>
      <c r="D42" s="182">
        <v>46252</v>
      </c>
      <c r="E42" s="182">
        <v>215</v>
      </c>
      <c r="F42" s="182">
        <v>22053</v>
      </c>
      <c r="G42" s="182">
        <v>79</v>
      </c>
      <c r="H42" s="182">
        <v>4933</v>
      </c>
      <c r="I42" s="182">
        <v>16005</v>
      </c>
      <c r="J42" s="215">
        <f t="shared" si="3"/>
        <v>901</v>
      </c>
      <c r="K42" s="182">
        <v>722</v>
      </c>
      <c r="L42" s="182">
        <f>111+68</f>
        <v>179</v>
      </c>
      <c r="M42" s="182">
        <v>1062</v>
      </c>
      <c r="N42" s="182">
        <v>6889</v>
      </c>
      <c r="O42" s="182">
        <v>1026</v>
      </c>
      <c r="P42" s="182">
        <v>847</v>
      </c>
      <c r="Q42" s="250">
        <f t="shared" si="4"/>
        <v>0.8255360623781677</v>
      </c>
    </row>
    <row r="43" spans="1:17" s="43" customFormat="1" ht="18" customHeight="1">
      <c r="A43" s="189">
        <v>31</v>
      </c>
      <c r="B43" s="196" t="s">
        <v>223</v>
      </c>
      <c r="C43" s="182">
        <v>1410</v>
      </c>
      <c r="D43" s="182">
        <v>164411</v>
      </c>
      <c r="E43" s="182">
        <v>313</v>
      </c>
      <c r="F43" s="182">
        <v>5843</v>
      </c>
      <c r="G43" s="182">
        <v>758</v>
      </c>
      <c r="H43" s="182">
        <v>36039</v>
      </c>
      <c r="I43" s="182">
        <v>90309</v>
      </c>
      <c r="J43" s="215">
        <f t="shared" si="3"/>
        <v>756</v>
      </c>
      <c r="K43" s="182">
        <v>583</v>
      </c>
      <c r="L43" s="182">
        <f>124+49</f>
        <v>173</v>
      </c>
      <c r="M43" s="182">
        <v>1039</v>
      </c>
      <c r="N43" s="182">
        <v>5578</v>
      </c>
      <c r="O43" s="182">
        <v>819</v>
      </c>
      <c r="P43" s="182">
        <v>709</v>
      </c>
      <c r="Q43" s="250">
        <f t="shared" si="4"/>
        <v>0.8656898656898657</v>
      </c>
    </row>
    <row r="44" spans="1:17" s="43" customFormat="1" ht="18" customHeight="1">
      <c r="A44" s="189">
        <v>32</v>
      </c>
      <c r="B44" s="196" t="s">
        <v>224</v>
      </c>
      <c r="C44" s="182">
        <v>14944</v>
      </c>
      <c r="D44" s="182">
        <v>159492</v>
      </c>
      <c r="E44" s="182">
        <v>326</v>
      </c>
      <c r="F44" s="182">
        <v>7078</v>
      </c>
      <c r="G44" s="182">
        <v>328</v>
      </c>
      <c r="H44" s="182">
        <v>33669</v>
      </c>
      <c r="I44" s="182">
        <v>88263</v>
      </c>
      <c r="J44" s="215">
        <f t="shared" si="3"/>
        <v>833</v>
      </c>
      <c r="K44" s="182">
        <f>127+61+183+92+70+115</f>
        <v>648</v>
      </c>
      <c r="L44" s="182">
        <f>12+32+21+31+12+26+32+19</f>
        <v>185</v>
      </c>
      <c r="M44" s="182">
        <v>467</v>
      </c>
      <c r="N44" s="182">
        <v>4603</v>
      </c>
      <c r="O44" s="182">
        <v>2093</v>
      </c>
      <c r="P44" s="182">
        <v>1587</v>
      </c>
      <c r="Q44" s="250">
        <f t="shared" si="4"/>
        <v>0.7582417582417582</v>
      </c>
    </row>
    <row r="45" spans="1:17" s="43" customFormat="1" ht="18" customHeight="1">
      <c r="A45" s="189">
        <v>33</v>
      </c>
      <c r="B45" s="196" t="s">
        <v>225</v>
      </c>
      <c r="C45" s="182">
        <v>2105</v>
      </c>
      <c r="D45" s="182">
        <v>264997</v>
      </c>
      <c r="E45" s="182">
        <v>77</v>
      </c>
      <c r="F45" s="182">
        <v>1193</v>
      </c>
      <c r="G45" s="182">
        <v>254</v>
      </c>
      <c r="H45" s="182">
        <v>36492</v>
      </c>
      <c r="I45" s="182">
        <v>61749</v>
      </c>
      <c r="J45" s="215">
        <f t="shared" si="3"/>
        <v>507</v>
      </c>
      <c r="K45" s="182">
        <v>297</v>
      </c>
      <c r="L45" s="182">
        <f>111+99</f>
        <v>210</v>
      </c>
      <c r="M45" s="182">
        <v>686</v>
      </c>
      <c r="N45" s="182">
        <v>3922</v>
      </c>
      <c r="O45" s="182">
        <v>273</v>
      </c>
      <c r="P45" s="182">
        <v>243</v>
      </c>
      <c r="Q45" s="250">
        <f t="shared" si="4"/>
        <v>0.8901098901098901</v>
      </c>
    </row>
    <row r="46" spans="1:17" s="43" customFormat="1" ht="18" customHeight="1">
      <c r="A46" s="189">
        <v>34</v>
      </c>
      <c r="B46" s="196" t="s">
        <v>226</v>
      </c>
      <c r="C46" s="182">
        <v>672</v>
      </c>
      <c r="D46" s="182">
        <v>51048</v>
      </c>
      <c r="E46" s="182">
        <v>73</v>
      </c>
      <c r="F46" s="182">
        <v>1472</v>
      </c>
      <c r="G46" s="182">
        <v>15</v>
      </c>
      <c r="H46" s="182">
        <v>191</v>
      </c>
      <c r="I46" s="182">
        <v>28869</v>
      </c>
      <c r="J46" s="215">
        <f t="shared" si="3"/>
        <v>1023</v>
      </c>
      <c r="K46" s="182">
        <v>842</v>
      </c>
      <c r="L46" s="182">
        <f>138+43</f>
        <v>181</v>
      </c>
      <c r="M46" s="182">
        <v>1095</v>
      </c>
      <c r="N46" s="182">
        <v>4791</v>
      </c>
      <c r="O46" s="182">
        <v>273</v>
      </c>
      <c r="P46" s="182">
        <v>183</v>
      </c>
      <c r="Q46" s="250">
        <f t="shared" si="4"/>
        <v>0.6703296703296703</v>
      </c>
    </row>
    <row r="47" spans="1:17" s="43" customFormat="1" ht="18" customHeight="1">
      <c r="A47" s="189">
        <v>35</v>
      </c>
      <c r="B47" s="196" t="s">
        <v>227</v>
      </c>
      <c r="C47" s="182">
        <v>79</v>
      </c>
      <c r="D47" s="182">
        <v>82000</v>
      </c>
      <c r="E47" s="182">
        <v>148</v>
      </c>
      <c r="F47" s="182">
        <v>11000</v>
      </c>
      <c r="G47" s="185" t="s">
        <v>290</v>
      </c>
      <c r="H47" s="185" t="s">
        <v>290</v>
      </c>
      <c r="I47" s="182">
        <v>20000</v>
      </c>
      <c r="J47" s="215">
        <f t="shared" si="3"/>
        <v>2156</v>
      </c>
      <c r="K47" s="182">
        <v>1955</v>
      </c>
      <c r="L47" s="182">
        <v>201</v>
      </c>
      <c r="M47" s="182">
        <v>2014</v>
      </c>
      <c r="N47" s="182">
        <v>9331</v>
      </c>
      <c r="O47" s="182">
        <v>2197</v>
      </c>
      <c r="P47" s="182">
        <v>1752</v>
      </c>
      <c r="Q47" s="250">
        <f t="shared" si="4"/>
        <v>0.7974510696404188</v>
      </c>
    </row>
    <row r="48" spans="1:17" s="43" customFormat="1" ht="18" customHeight="1">
      <c r="A48" s="189">
        <v>36</v>
      </c>
      <c r="B48" s="201" t="s">
        <v>229</v>
      </c>
      <c r="C48" s="182">
        <v>1779</v>
      </c>
      <c r="D48" s="182">
        <v>144283</v>
      </c>
      <c r="E48" s="182">
        <v>254</v>
      </c>
      <c r="F48" s="182">
        <v>1469</v>
      </c>
      <c r="G48" s="182">
        <v>228</v>
      </c>
      <c r="H48" s="182">
        <v>321</v>
      </c>
      <c r="I48" s="182">
        <v>14682</v>
      </c>
      <c r="J48" s="215">
        <f t="shared" si="3"/>
        <v>2339</v>
      </c>
      <c r="K48" s="182">
        <v>2033</v>
      </c>
      <c r="L48" s="182">
        <v>306</v>
      </c>
      <c r="M48" s="182">
        <v>2315</v>
      </c>
      <c r="N48" s="182">
        <v>10597</v>
      </c>
      <c r="O48" s="182">
        <v>615</v>
      </c>
      <c r="P48" s="182">
        <v>346</v>
      </c>
      <c r="Q48" s="250">
        <f aca="true" t="shared" si="5" ref="Q48:Q57">P48/O48*100%</f>
        <v>0.5626016260162602</v>
      </c>
    </row>
    <row r="49" spans="1:17" s="43" customFormat="1" ht="18" customHeight="1">
      <c r="A49" s="189">
        <v>37</v>
      </c>
      <c r="B49" s="201" t="s">
        <v>230</v>
      </c>
      <c r="C49" s="182">
        <v>6159</v>
      </c>
      <c r="D49" s="182">
        <v>349976</v>
      </c>
      <c r="E49" s="182">
        <v>164</v>
      </c>
      <c r="F49" s="182">
        <v>674</v>
      </c>
      <c r="G49" s="182">
        <v>716</v>
      </c>
      <c r="H49" s="182">
        <v>2529</v>
      </c>
      <c r="I49" s="182">
        <v>20285</v>
      </c>
      <c r="J49" s="215">
        <f t="shared" si="3"/>
        <v>2116</v>
      </c>
      <c r="K49" s="182">
        <v>1634</v>
      </c>
      <c r="L49" s="182">
        <f>(280+202)</f>
        <v>482</v>
      </c>
      <c r="M49" s="182">
        <v>1774</v>
      </c>
      <c r="N49" s="182">
        <v>7807</v>
      </c>
      <c r="O49" s="182">
        <v>2029</v>
      </c>
      <c r="P49" s="182">
        <v>1723</v>
      </c>
      <c r="Q49" s="250">
        <f t="shared" si="5"/>
        <v>0.8491867915229176</v>
      </c>
    </row>
    <row r="50" spans="1:17" s="43" customFormat="1" ht="18" customHeight="1">
      <c r="A50" s="189">
        <v>38</v>
      </c>
      <c r="B50" s="201" t="s">
        <v>231</v>
      </c>
      <c r="C50" s="182">
        <v>9541</v>
      </c>
      <c r="D50" s="182">
        <v>230416</v>
      </c>
      <c r="E50" s="182">
        <v>300</v>
      </c>
      <c r="F50" s="182">
        <v>8314</v>
      </c>
      <c r="G50" s="182">
        <v>940</v>
      </c>
      <c r="H50" s="182">
        <v>19625</v>
      </c>
      <c r="I50" s="182">
        <v>83875</v>
      </c>
      <c r="J50" s="215">
        <f t="shared" si="3"/>
        <v>2574</v>
      </c>
      <c r="K50" s="182">
        <v>2185</v>
      </c>
      <c r="L50" s="182">
        <f>(317+72)</f>
        <v>389</v>
      </c>
      <c r="M50" s="182">
        <v>1052</v>
      </c>
      <c r="N50" s="182">
        <v>6892</v>
      </c>
      <c r="O50" s="182">
        <v>2148</v>
      </c>
      <c r="P50" s="182">
        <v>1584</v>
      </c>
      <c r="Q50" s="250">
        <f t="shared" si="5"/>
        <v>0.7374301675977654</v>
      </c>
    </row>
    <row r="51" spans="1:17" s="43" customFormat="1" ht="18" customHeight="1">
      <c r="A51" s="189">
        <v>39</v>
      </c>
      <c r="B51" s="201" t="s">
        <v>232</v>
      </c>
      <c r="C51" s="182">
        <v>288</v>
      </c>
      <c r="D51" s="182">
        <v>14222</v>
      </c>
      <c r="E51" s="182">
        <v>229</v>
      </c>
      <c r="F51" s="182">
        <v>14793</v>
      </c>
      <c r="G51" s="182">
        <v>5</v>
      </c>
      <c r="H51" s="182">
        <v>56</v>
      </c>
      <c r="I51" s="182">
        <v>13782</v>
      </c>
      <c r="J51" s="215">
        <f t="shared" si="3"/>
        <v>2083</v>
      </c>
      <c r="K51" s="182">
        <v>1714</v>
      </c>
      <c r="L51" s="182">
        <f>(336+33)</f>
        <v>369</v>
      </c>
      <c r="M51" s="182">
        <v>3689</v>
      </c>
      <c r="N51" s="182">
        <v>22074</v>
      </c>
      <c r="O51" s="182">
        <v>5834</v>
      </c>
      <c r="P51" s="182">
        <v>3996</v>
      </c>
      <c r="Q51" s="250">
        <f t="shared" si="5"/>
        <v>0.6849502913952691</v>
      </c>
    </row>
    <row r="52" spans="1:17" s="43" customFormat="1" ht="18" customHeight="1">
      <c r="A52" s="189">
        <v>40</v>
      </c>
      <c r="B52" s="201" t="s">
        <v>233</v>
      </c>
      <c r="C52" s="182">
        <v>3386</v>
      </c>
      <c r="D52" s="182">
        <v>466687</v>
      </c>
      <c r="E52" s="182">
        <v>1105</v>
      </c>
      <c r="F52" s="182">
        <v>22354</v>
      </c>
      <c r="G52" s="182">
        <v>606</v>
      </c>
      <c r="H52" s="182">
        <v>32312</v>
      </c>
      <c r="I52" s="182">
        <v>74160</v>
      </c>
      <c r="J52" s="215">
        <f t="shared" si="3"/>
        <v>4142</v>
      </c>
      <c r="K52" s="182">
        <v>3351</v>
      </c>
      <c r="L52" s="182">
        <f>(684+107)</f>
        <v>791</v>
      </c>
      <c r="M52" s="182">
        <v>5740</v>
      </c>
      <c r="N52" s="182">
        <v>36764</v>
      </c>
      <c r="O52" s="182">
        <v>5316</v>
      </c>
      <c r="P52" s="182">
        <v>4443</v>
      </c>
      <c r="Q52" s="250">
        <f t="shared" si="5"/>
        <v>0.8357787810383747</v>
      </c>
    </row>
    <row r="53" spans="1:17" s="43" customFormat="1" ht="18" customHeight="1">
      <c r="A53" s="189">
        <v>41</v>
      </c>
      <c r="B53" s="201" t="s">
        <v>234</v>
      </c>
      <c r="C53" s="182">
        <v>1527</v>
      </c>
      <c r="D53" s="182">
        <v>65348</v>
      </c>
      <c r="E53" s="182">
        <v>146</v>
      </c>
      <c r="F53" s="182">
        <v>6909</v>
      </c>
      <c r="G53" s="182">
        <v>141</v>
      </c>
      <c r="H53" s="182">
        <v>5089</v>
      </c>
      <c r="I53" s="182">
        <v>17467</v>
      </c>
      <c r="J53" s="215">
        <f t="shared" si="3"/>
        <v>815</v>
      </c>
      <c r="K53" s="182">
        <v>547</v>
      </c>
      <c r="L53" s="182">
        <v>268</v>
      </c>
      <c r="M53" s="182">
        <v>1683</v>
      </c>
      <c r="N53" s="182">
        <v>11009</v>
      </c>
      <c r="O53" s="182">
        <v>858</v>
      </c>
      <c r="P53" s="182">
        <v>630</v>
      </c>
      <c r="Q53" s="250">
        <f t="shared" si="5"/>
        <v>0.7342657342657343</v>
      </c>
    </row>
    <row r="54" spans="1:17" s="43" customFormat="1" ht="18" customHeight="1">
      <c r="A54" s="189">
        <v>42</v>
      </c>
      <c r="B54" s="201" t="s">
        <v>235</v>
      </c>
      <c r="C54" s="182">
        <v>488</v>
      </c>
      <c r="D54" s="182">
        <v>18984</v>
      </c>
      <c r="E54" s="182">
        <v>25</v>
      </c>
      <c r="F54" s="182">
        <v>13038</v>
      </c>
      <c r="G54" s="182">
        <v>81</v>
      </c>
      <c r="H54" s="182">
        <v>14375</v>
      </c>
      <c r="I54" s="182">
        <v>6414</v>
      </c>
      <c r="J54" s="215">
        <f t="shared" si="3"/>
        <v>1605</v>
      </c>
      <c r="K54" s="182">
        <v>869</v>
      </c>
      <c r="L54" s="182">
        <f>(652+84)</f>
        <v>736</v>
      </c>
      <c r="M54" s="182">
        <v>397</v>
      </c>
      <c r="N54" s="182">
        <v>2391</v>
      </c>
      <c r="O54" s="182">
        <v>215</v>
      </c>
      <c r="P54" s="182">
        <v>153</v>
      </c>
      <c r="Q54" s="250">
        <f t="shared" si="5"/>
        <v>0.7116279069767442</v>
      </c>
    </row>
    <row r="55" spans="1:17" s="43" customFormat="1" ht="18" customHeight="1">
      <c r="A55" s="189">
        <v>43</v>
      </c>
      <c r="B55" s="201" t="s">
        <v>236</v>
      </c>
      <c r="C55" s="182">
        <v>2424</v>
      </c>
      <c r="D55" s="182">
        <v>266190</v>
      </c>
      <c r="E55" s="182">
        <v>277</v>
      </c>
      <c r="F55" s="182">
        <v>8310</v>
      </c>
      <c r="G55" s="182">
        <v>795</v>
      </c>
      <c r="H55" s="182">
        <v>27825</v>
      </c>
      <c r="I55" s="182">
        <v>199922</v>
      </c>
      <c r="J55" s="215">
        <f t="shared" si="3"/>
        <v>2600</v>
      </c>
      <c r="K55" s="182">
        <v>2069</v>
      </c>
      <c r="L55" s="182">
        <f>(455+76)</f>
        <v>531</v>
      </c>
      <c r="M55" s="182">
        <v>2898</v>
      </c>
      <c r="N55" s="182">
        <v>17407</v>
      </c>
      <c r="O55" s="182">
        <v>1678</v>
      </c>
      <c r="P55" s="182">
        <v>1397</v>
      </c>
      <c r="Q55" s="250">
        <f t="shared" si="5"/>
        <v>0.8325387365911799</v>
      </c>
    </row>
    <row r="56" spans="1:17" s="43" customFormat="1" ht="18" customHeight="1">
      <c r="A56" s="189">
        <v>44</v>
      </c>
      <c r="B56" s="201" t="s">
        <v>237</v>
      </c>
      <c r="C56" s="182">
        <v>293</v>
      </c>
      <c r="D56" s="182">
        <v>26670</v>
      </c>
      <c r="E56" s="182">
        <v>51</v>
      </c>
      <c r="F56" s="182">
        <v>814</v>
      </c>
      <c r="G56" s="182">
        <v>30</v>
      </c>
      <c r="H56" s="182">
        <v>2895</v>
      </c>
      <c r="I56" s="182">
        <v>16247</v>
      </c>
      <c r="J56" s="215">
        <f t="shared" si="3"/>
        <v>352</v>
      </c>
      <c r="K56" s="182">
        <v>175</v>
      </c>
      <c r="L56" s="182">
        <f>(149+28)</f>
        <v>177</v>
      </c>
      <c r="M56" s="182">
        <v>339</v>
      </c>
      <c r="N56" s="182">
        <v>1907</v>
      </c>
      <c r="O56" s="182">
        <v>527</v>
      </c>
      <c r="P56" s="182">
        <v>374</v>
      </c>
      <c r="Q56" s="250">
        <f t="shared" si="5"/>
        <v>0.7096774193548387</v>
      </c>
    </row>
    <row r="57" spans="1:17" s="125" customFormat="1" ht="18" customHeight="1">
      <c r="A57" s="189">
        <v>45</v>
      </c>
      <c r="B57" s="205" t="s">
        <v>243</v>
      </c>
      <c r="C57" s="182">
        <v>7067</v>
      </c>
      <c r="D57" s="182">
        <v>355380</v>
      </c>
      <c r="E57" s="182">
        <v>772</v>
      </c>
      <c r="F57" s="182">
        <v>11134</v>
      </c>
      <c r="G57" s="182">
        <v>2738</v>
      </c>
      <c r="H57" s="182">
        <v>33801</v>
      </c>
      <c r="I57" s="182">
        <v>219735</v>
      </c>
      <c r="J57" s="215">
        <f>K57+L57</f>
        <v>1548</v>
      </c>
      <c r="K57" s="182">
        <v>1271</v>
      </c>
      <c r="L57" s="182">
        <f>144+133</f>
        <v>277</v>
      </c>
      <c r="M57" s="182">
        <v>1432</v>
      </c>
      <c r="N57" s="182">
        <v>9179</v>
      </c>
      <c r="O57" s="182">
        <v>1461</v>
      </c>
      <c r="P57" s="182">
        <v>1281</v>
      </c>
      <c r="Q57" s="250">
        <f t="shared" si="5"/>
        <v>0.8767967145790554</v>
      </c>
    </row>
    <row r="58" spans="1:17" s="43" customFormat="1" ht="18" customHeight="1">
      <c r="A58" s="189">
        <v>46</v>
      </c>
      <c r="B58" s="205" t="s">
        <v>244</v>
      </c>
      <c r="C58" s="182">
        <v>1125</v>
      </c>
      <c r="D58" s="182">
        <v>117477</v>
      </c>
      <c r="E58" s="182">
        <v>1080</v>
      </c>
      <c r="F58" s="182">
        <v>10700</v>
      </c>
      <c r="G58" s="182">
        <v>316</v>
      </c>
      <c r="H58" s="182">
        <v>3439</v>
      </c>
      <c r="I58" s="182">
        <v>33486</v>
      </c>
      <c r="J58" s="215">
        <f aca="true" t="shared" si="6" ref="J58:J75">K58+L58</f>
        <v>2601</v>
      </c>
      <c r="K58" s="182">
        <v>2143</v>
      </c>
      <c r="L58" s="182">
        <f>359+99</f>
        <v>458</v>
      </c>
      <c r="M58" s="182">
        <v>1620</v>
      </c>
      <c r="N58" s="182">
        <v>9521</v>
      </c>
      <c r="O58" s="182">
        <v>1330</v>
      </c>
      <c r="P58" s="182">
        <v>1043</v>
      </c>
      <c r="Q58" s="250">
        <f aca="true" t="shared" si="7" ref="Q58:Q75">P58/O58*100%</f>
        <v>0.7842105263157895</v>
      </c>
    </row>
    <row r="59" spans="1:17" s="43" customFormat="1" ht="18" customHeight="1">
      <c r="A59" s="189">
        <v>47</v>
      </c>
      <c r="B59" s="205" t="s">
        <v>245</v>
      </c>
      <c r="C59" s="182">
        <v>1219</v>
      </c>
      <c r="D59" s="182">
        <v>109481</v>
      </c>
      <c r="E59" s="182">
        <v>227</v>
      </c>
      <c r="F59" s="182">
        <v>51593</v>
      </c>
      <c r="G59" s="182">
        <v>96</v>
      </c>
      <c r="H59" s="182">
        <v>4348</v>
      </c>
      <c r="I59" s="182">
        <v>78276</v>
      </c>
      <c r="J59" s="215">
        <f t="shared" si="6"/>
        <v>1251</v>
      </c>
      <c r="K59" s="182">
        <v>921</v>
      </c>
      <c r="L59" s="182">
        <f>193+137</f>
        <v>330</v>
      </c>
      <c r="M59" s="182">
        <v>1780</v>
      </c>
      <c r="N59" s="182">
        <v>7976</v>
      </c>
      <c r="O59" s="182">
        <v>3128</v>
      </c>
      <c r="P59" s="182">
        <v>2671</v>
      </c>
      <c r="Q59" s="250">
        <f t="shared" si="7"/>
        <v>0.8539002557544757</v>
      </c>
    </row>
    <row r="60" spans="1:17" s="43" customFormat="1" ht="18" customHeight="1">
      <c r="A60" s="189">
        <v>48</v>
      </c>
      <c r="B60" s="205" t="s">
        <v>246</v>
      </c>
      <c r="C60" s="182">
        <v>4607</v>
      </c>
      <c r="D60" s="182">
        <v>268675</v>
      </c>
      <c r="E60" s="182">
        <v>407</v>
      </c>
      <c r="F60" s="182">
        <v>31075</v>
      </c>
      <c r="G60" s="182">
        <v>399</v>
      </c>
      <c r="H60" s="182">
        <v>11307</v>
      </c>
      <c r="I60" s="182">
        <v>400477</v>
      </c>
      <c r="J60" s="215">
        <f t="shared" si="6"/>
        <v>481</v>
      </c>
      <c r="K60" s="182">
        <v>172</v>
      </c>
      <c r="L60" s="182">
        <f>233+76</f>
        <v>309</v>
      </c>
      <c r="M60" s="182">
        <v>1586</v>
      </c>
      <c r="N60" s="182">
        <v>7967</v>
      </c>
      <c r="O60" s="182">
        <v>1522</v>
      </c>
      <c r="P60" s="182">
        <v>1260</v>
      </c>
      <c r="Q60" s="250">
        <f t="shared" si="7"/>
        <v>0.8278580814717477</v>
      </c>
    </row>
    <row r="61" spans="1:17" s="43" customFormat="1" ht="18" customHeight="1">
      <c r="A61" s="189">
        <v>49</v>
      </c>
      <c r="B61" s="205" t="s">
        <v>247</v>
      </c>
      <c r="C61" s="182">
        <v>810</v>
      </c>
      <c r="D61" s="182">
        <v>60438</v>
      </c>
      <c r="E61" s="182">
        <v>142</v>
      </c>
      <c r="F61" s="182">
        <v>6480</v>
      </c>
      <c r="G61" s="182">
        <v>55</v>
      </c>
      <c r="H61" s="182">
        <v>486</v>
      </c>
      <c r="I61" s="182">
        <v>16424</v>
      </c>
      <c r="J61" s="215">
        <f t="shared" si="6"/>
        <v>950</v>
      </c>
      <c r="K61" s="182">
        <v>749</v>
      </c>
      <c r="L61" s="182">
        <f>139+62</f>
        <v>201</v>
      </c>
      <c r="M61" s="182">
        <f>193+204+112+83+86+268+106+102+200</f>
        <v>1354</v>
      </c>
      <c r="N61" s="182">
        <f>1369+809+455+503+86+985+699+510+1315</f>
        <v>6731</v>
      </c>
      <c r="O61" s="182">
        <v>882</v>
      </c>
      <c r="P61" s="182">
        <v>729</v>
      </c>
      <c r="Q61" s="250">
        <f t="shared" si="7"/>
        <v>0.826530612244898</v>
      </c>
    </row>
    <row r="62" spans="1:17" s="125" customFormat="1" ht="18" customHeight="1">
      <c r="A62" s="189">
        <v>50</v>
      </c>
      <c r="B62" s="205" t="s">
        <v>248</v>
      </c>
      <c r="C62" s="182">
        <v>358</v>
      </c>
      <c r="D62" s="182">
        <v>42600</v>
      </c>
      <c r="E62" s="182">
        <v>109</v>
      </c>
      <c r="F62" s="182">
        <v>4905</v>
      </c>
      <c r="G62" s="182">
        <v>129</v>
      </c>
      <c r="H62" s="182">
        <v>5160</v>
      </c>
      <c r="I62" s="182">
        <v>22515</v>
      </c>
      <c r="J62" s="215">
        <f t="shared" si="6"/>
        <v>728</v>
      </c>
      <c r="K62" s="182">
        <v>446</v>
      </c>
      <c r="L62" s="182">
        <f>72+210</f>
        <v>282</v>
      </c>
      <c r="M62" s="182">
        <v>475</v>
      </c>
      <c r="N62" s="182">
        <v>2066</v>
      </c>
      <c r="O62" s="182">
        <v>1513</v>
      </c>
      <c r="P62" s="182">
        <v>1309</v>
      </c>
      <c r="Q62" s="250">
        <f t="shared" si="7"/>
        <v>0.8651685393258427</v>
      </c>
    </row>
    <row r="63" spans="1:17" s="125" customFormat="1" ht="18" customHeight="1">
      <c r="A63" s="189">
        <v>51</v>
      </c>
      <c r="B63" s="206" t="s">
        <v>249</v>
      </c>
      <c r="C63" s="182">
        <v>1937</v>
      </c>
      <c r="D63" s="182">
        <v>186251</v>
      </c>
      <c r="E63" s="182">
        <v>204</v>
      </c>
      <c r="F63" s="182">
        <v>7614</v>
      </c>
      <c r="G63" s="182">
        <v>290</v>
      </c>
      <c r="H63" s="182">
        <v>1805</v>
      </c>
      <c r="I63" s="182">
        <v>38293</v>
      </c>
      <c r="J63" s="215">
        <f t="shared" si="6"/>
        <v>3631</v>
      </c>
      <c r="K63" s="182">
        <v>3233</v>
      </c>
      <c r="L63" s="182">
        <f>317+81</f>
        <v>398</v>
      </c>
      <c r="M63" s="182">
        <v>3238</v>
      </c>
      <c r="N63" s="182">
        <v>16654</v>
      </c>
      <c r="O63" s="182">
        <v>1049</v>
      </c>
      <c r="P63" s="182">
        <v>850</v>
      </c>
      <c r="Q63" s="250">
        <f t="shared" si="7"/>
        <v>0.8102955195424214</v>
      </c>
    </row>
    <row r="64" spans="1:17" s="125" customFormat="1" ht="18" customHeight="1">
      <c r="A64" s="189">
        <v>52</v>
      </c>
      <c r="B64" s="206" t="s">
        <v>250</v>
      </c>
      <c r="C64" s="182">
        <v>6377</v>
      </c>
      <c r="D64" s="182">
        <v>244522</v>
      </c>
      <c r="E64" s="182">
        <v>105</v>
      </c>
      <c r="F64" s="182">
        <v>2884</v>
      </c>
      <c r="G64" s="182">
        <v>131</v>
      </c>
      <c r="H64" s="182">
        <v>6613</v>
      </c>
      <c r="I64" s="182">
        <v>119466</v>
      </c>
      <c r="J64" s="215">
        <f t="shared" si="6"/>
        <v>902</v>
      </c>
      <c r="K64" s="182">
        <v>729</v>
      </c>
      <c r="L64" s="182">
        <f>114+59</f>
        <v>173</v>
      </c>
      <c r="M64" s="182">
        <v>637</v>
      </c>
      <c r="N64" s="182">
        <v>4171</v>
      </c>
      <c r="O64" s="182">
        <v>1600</v>
      </c>
      <c r="P64" s="182">
        <v>980</v>
      </c>
      <c r="Q64" s="250">
        <f t="shared" si="7"/>
        <v>0.6125</v>
      </c>
    </row>
    <row r="65" spans="1:17" s="43" customFormat="1" ht="18" customHeight="1">
      <c r="A65" s="189">
        <v>53</v>
      </c>
      <c r="B65" s="206" t="s">
        <v>251</v>
      </c>
      <c r="C65" s="182">
        <v>3421</v>
      </c>
      <c r="D65" s="182">
        <v>384291</v>
      </c>
      <c r="E65" s="182">
        <v>404</v>
      </c>
      <c r="F65" s="182">
        <v>18944</v>
      </c>
      <c r="G65" s="182">
        <v>94</v>
      </c>
      <c r="H65" s="182">
        <v>19830</v>
      </c>
      <c r="I65" s="182">
        <v>635639</v>
      </c>
      <c r="J65" s="215">
        <f t="shared" si="6"/>
        <v>1364</v>
      </c>
      <c r="K65" s="182">
        <v>1187</v>
      </c>
      <c r="L65" s="182">
        <f>121+56</f>
        <v>177</v>
      </c>
      <c r="M65" s="182">
        <v>2051</v>
      </c>
      <c r="N65" s="182">
        <v>15650</v>
      </c>
      <c r="O65" s="182">
        <v>4040</v>
      </c>
      <c r="P65" s="182">
        <v>3228</v>
      </c>
      <c r="Q65" s="250">
        <f t="shared" si="7"/>
        <v>0.799009900990099</v>
      </c>
    </row>
    <row r="66" spans="1:17" s="125" customFormat="1" ht="18" customHeight="1">
      <c r="A66" s="189">
        <v>54</v>
      </c>
      <c r="B66" s="206" t="s">
        <v>252</v>
      </c>
      <c r="C66" s="182">
        <v>292</v>
      </c>
      <c r="D66" s="182">
        <v>18700</v>
      </c>
      <c r="E66" s="216">
        <v>181</v>
      </c>
      <c r="F66" s="216" t="s">
        <v>290</v>
      </c>
      <c r="G66" s="216">
        <v>450</v>
      </c>
      <c r="H66" s="216" t="s">
        <v>290</v>
      </c>
      <c r="I66" s="182">
        <v>49700</v>
      </c>
      <c r="J66" s="215">
        <f t="shared" si="6"/>
        <v>1347</v>
      </c>
      <c r="K66" s="182">
        <v>930</v>
      </c>
      <c r="L66" s="182">
        <f>351+66</f>
        <v>417</v>
      </c>
      <c r="M66" s="182">
        <v>2805</v>
      </c>
      <c r="N66" s="182">
        <v>17814</v>
      </c>
      <c r="O66" s="182">
        <v>1136</v>
      </c>
      <c r="P66" s="182">
        <v>922</v>
      </c>
      <c r="Q66" s="250">
        <f t="shared" si="7"/>
        <v>0.8116197183098591</v>
      </c>
    </row>
    <row r="67" spans="1:17" s="125" customFormat="1" ht="18" customHeight="1">
      <c r="A67" s="189">
        <v>55</v>
      </c>
      <c r="B67" s="206" t="s">
        <v>253</v>
      </c>
      <c r="C67" s="182">
        <v>3964</v>
      </c>
      <c r="D67" s="182">
        <v>321692</v>
      </c>
      <c r="E67" s="182">
        <v>2565</v>
      </c>
      <c r="F67" s="182">
        <v>159099</v>
      </c>
      <c r="G67" s="182">
        <v>437</v>
      </c>
      <c r="H67" s="182">
        <v>19480</v>
      </c>
      <c r="I67" s="182">
        <v>164246.67</v>
      </c>
      <c r="J67" s="215">
        <f t="shared" si="6"/>
        <v>4723</v>
      </c>
      <c r="K67" s="182">
        <v>4347</v>
      </c>
      <c r="L67" s="182">
        <f>320+56</f>
        <v>376</v>
      </c>
      <c r="M67" s="182">
        <v>5308</v>
      </c>
      <c r="N67" s="182">
        <v>27963</v>
      </c>
      <c r="O67" s="182">
        <v>3536</v>
      </c>
      <c r="P67" s="182">
        <v>2790</v>
      </c>
      <c r="Q67" s="250">
        <f t="shared" si="7"/>
        <v>0.7890271493212669</v>
      </c>
    </row>
    <row r="68" spans="1:17" s="125" customFormat="1" ht="18" customHeight="1">
      <c r="A68" s="189">
        <v>56</v>
      </c>
      <c r="B68" s="206" t="s">
        <v>254</v>
      </c>
      <c r="C68" s="182">
        <v>2575</v>
      </c>
      <c r="D68" s="182">
        <v>247647</v>
      </c>
      <c r="E68" s="182">
        <v>148</v>
      </c>
      <c r="F68" s="182">
        <v>7323</v>
      </c>
      <c r="G68" s="182">
        <v>232</v>
      </c>
      <c r="H68" s="182">
        <v>4090</v>
      </c>
      <c r="I68" s="182">
        <v>31999</v>
      </c>
      <c r="J68" s="215">
        <f t="shared" si="6"/>
        <v>1524</v>
      </c>
      <c r="K68" s="182">
        <v>1259</v>
      </c>
      <c r="L68" s="182">
        <f>197+68</f>
        <v>265</v>
      </c>
      <c r="M68" s="182">
        <v>1413</v>
      </c>
      <c r="N68" s="182">
        <v>7672</v>
      </c>
      <c r="O68" s="182">
        <v>1492</v>
      </c>
      <c r="P68" s="182">
        <v>1146</v>
      </c>
      <c r="Q68" s="250">
        <f t="shared" si="7"/>
        <v>0.7680965147453083</v>
      </c>
    </row>
    <row r="69" spans="1:17" s="125" customFormat="1" ht="18" customHeight="1">
      <c r="A69" s="189">
        <v>57</v>
      </c>
      <c r="B69" s="206" t="s">
        <v>255</v>
      </c>
      <c r="C69" s="182">
        <v>20446</v>
      </c>
      <c r="D69" s="182">
        <v>2214557</v>
      </c>
      <c r="E69" s="182">
        <v>282</v>
      </c>
      <c r="F69" s="182">
        <v>1882</v>
      </c>
      <c r="G69" s="182">
        <v>574</v>
      </c>
      <c r="H69" s="182">
        <v>5715</v>
      </c>
      <c r="I69" s="182">
        <v>3806955</v>
      </c>
      <c r="J69" s="215">
        <f t="shared" si="6"/>
        <v>2889</v>
      </c>
      <c r="K69" s="182">
        <v>2564</v>
      </c>
      <c r="L69" s="182">
        <f>251+74</f>
        <v>325</v>
      </c>
      <c r="M69" s="182">
        <v>1024</v>
      </c>
      <c r="N69" s="182">
        <v>6627</v>
      </c>
      <c r="O69" s="182">
        <v>2029</v>
      </c>
      <c r="P69" s="182">
        <v>1285</v>
      </c>
      <c r="Q69" s="250">
        <f t="shared" si="7"/>
        <v>0.6333169048792509</v>
      </c>
    </row>
    <row r="70" spans="1:17" s="125" customFormat="1" ht="18" customHeight="1">
      <c r="A70" s="189">
        <v>58</v>
      </c>
      <c r="B70" s="206" t="s">
        <v>256</v>
      </c>
      <c r="C70" s="182">
        <v>14589</v>
      </c>
      <c r="D70" s="182">
        <v>1056343</v>
      </c>
      <c r="E70" s="310">
        <v>3214</v>
      </c>
      <c r="F70" s="182">
        <v>15880</v>
      </c>
      <c r="G70" s="182">
        <v>662</v>
      </c>
      <c r="H70" s="182">
        <v>78470</v>
      </c>
      <c r="I70" s="182">
        <v>5153038</v>
      </c>
      <c r="J70" s="215">
        <f t="shared" si="6"/>
        <v>2963</v>
      </c>
      <c r="K70" s="182">
        <v>2498</v>
      </c>
      <c r="L70" s="182">
        <f>357+108</f>
        <v>465</v>
      </c>
      <c r="M70" s="182">
        <v>14328</v>
      </c>
      <c r="N70" s="182">
        <v>43217</v>
      </c>
      <c r="O70" s="182">
        <v>2482</v>
      </c>
      <c r="P70" s="182">
        <v>1555</v>
      </c>
      <c r="Q70" s="250">
        <f t="shared" si="7"/>
        <v>0.6265108783239323</v>
      </c>
    </row>
    <row r="71" spans="1:17" s="125" customFormat="1" ht="18" customHeight="1">
      <c r="A71" s="189">
        <v>59</v>
      </c>
      <c r="B71" s="206" t="s">
        <v>257</v>
      </c>
      <c r="C71" s="182">
        <v>4296</v>
      </c>
      <c r="D71" s="182">
        <v>1227303</v>
      </c>
      <c r="E71" s="182">
        <v>126</v>
      </c>
      <c r="F71" s="182">
        <v>8892</v>
      </c>
      <c r="G71" s="182">
        <v>67</v>
      </c>
      <c r="H71" s="182">
        <v>4363</v>
      </c>
      <c r="I71" s="182">
        <v>15952</v>
      </c>
      <c r="J71" s="215">
        <f t="shared" si="6"/>
        <v>368</v>
      </c>
      <c r="K71" s="182">
        <v>270</v>
      </c>
      <c r="L71" s="182">
        <f>61+37</f>
        <v>98</v>
      </c>
      <c r="M71" s="182">
        <v>912</v>
      </c>
      <c r="N71" s="182">
        <v>7204</v>
      </c>
      <c r="O71" s="182">
        <v>917</v>
      </c>
      <c r="P71" s="182">
        <v>398</v>
      </c>
      <c r="Q71" s="250">
        <f t="shared" si="7"/>
        <v>0.4340239912758997</v>
      </c>
    </row>
    <row r="72" spans="1:17" s="125" customFormat="1" ht="18" customHeight="1">
      <c r="A72" s="189">
        <v>60</v>
      </c>
      <c r="B72" s="206" t="s">
        <v>258</v>
      </c>
      <c r="C72" s="182">
        <v>9474</v>
      </c>
      <c r="D72" s="182">
        <v>315313</v>
      </c>
      <c r="E72" s="182">
        <v>150</v>
      </c>
      <c r="F72" s="182">
        <v>7574</v>
      </c>
      <c r="G72" s="182">
        <v>574</v>
      </c>
      <c r="H72" s="182">
        <v>160699</v>
      </c>
      <c r="I72" s="182">
        <v>61571</v>
      </c>
      <c r="J72" s="215">
        <f t="shared" si="6"/>
        <v>2814</v>
      </c>
      <c r="K72" s="182">
        <v>2514</v>
      </c>
      <c r="L72" s="182">
        <f>234+66</f>
        <v>300</v>
      </c>
      <c r="M72" s="182">
        <v>2094</v>
      </c>
      <c r="N72" s="182">
        <v>12346</v>
      </c>
      <c r="O72" s="182">
        <v>1594</v>
      </c>
      <c r="P72" s="182">
        <v>1108</v>
      </c>
      <c r="Q72" s="250">
        <f t="shared" si="7"/>
        <v>0.6951066499372648</v>
      </c>
    </row>
    <row r="73" spans="1:17" s="125" customFormat="1" ht="18" customHeight="1">
      <c r="A73" s="189">
        <v>61</v>
      </c>
      <c r="B73" s="206" t="s">
        <v>259</v>
      </c>
      <c r="C73" s="182">
        <v>5795</v>
      </c>
      <c r="D73" s="182">
        <v>199921</v>
      </c>
      <c r="E73" s="182">
        <v>933</v>
      </c>
      <c r="F73" s="182">
        <v>11645</v>
      </c>
      <c r="G73" s="182">
        <v>559</v>
      </c>
      <c r="H73" s="182">
        <v>8862</v>
      </c>
      <c r="I73" s="182">
        <v>115054</v>
      </c>
      <c r="J73" s="215">
        <f t="shared" si="6"/>
        <v>568</v>
      </c>
      <c r="K73" s="170">
        <f>149+75+25+55</f>
        <v>304</v>
      </c>
      <c r="L73" s="182">
        <f>28+9+11+7+1+208</f>
        <v>264</v>
      </c>
      <c r="M73" s="182">
        <v>530</v>
      </c>
      <c r="N73" s="182">
        <v>4043</v>
      </c>
      <c r="O73" s="182">
        <v>1009</v>
      </c>
      <c r="P73" s="182">
        <v>722</v>
      </c>
      <c r="Q73" s="250">
        <f t="shared" si="7"/>
        <v>0.7155599603567889</v>
      </c>
    </row>
    <row r="74" spans="1:17" s="125" customFormat="1" ht="20.25" customHeight="1">
      <c r="A74" s="189">
        <v>62</v>
      </c>
      <c r="B74" s="206" t="s">
        <v>260</v>
      </c>
      <c r="C74" s="182">
        <v>2575</v>
      </c>
      <c r="D74" s="182">
        <v>111638</v>
      </c>
      <c r="E74" s="182">
        <v>1296</v>
      </c>
      <c r="F74" s="182">
        <v>7618</v>
      </c>
      <c r="G74" s="182">
        <v>347</v>
      </c>
      <c r="H74" s="182">
        <v>825</v>
      </c>
      <c r="I74" s="182">
        <v>163173</v>
      </c>
      <c r="J74" s="215"/>
      <c r="K74" s="182">
        <v>1412</v>
      </c>
      <c r="L74" s="182">
        <f>183+300</f>
        <v>483</v>
      </c>
      <c r="M74" s="182">
        <v>1490</v>
      </c>
      <c r="N74" s="182">
        <v>9205</v>
      </c>
      <c r="O74" s="182">
        <v>1627</v>
      </c>
      <c r="P74" s="182">
        <v>1265</v>
      </c>
      <c r="Q74" s="250">
        <f t="shared" si="7"/>
        <v>0.7775046097111248</v>
      </c>
    </row>
    <row r="75" spans="1:17" s="43" customFormat="1" ht="18" customHeight="1">
      <c r="A75" s="189">
        <v>63</v>
      </c>
      <c r="B75" s="206" t="s">
        <v>261</v>
      </c>
      <c r="C75" s="182">
        <v>1162</v>
      </c>
      <c r="D75" s="182">
        <v>87496</v>
      </c>
      <c r="E75" s="182">
        <v>199</v>
      </c>
      <c r="F75" s="182">
        <v>4950</v>
      </c>
      <c r="G75" s="182">
        <v>141</v>
      </c>
      <c r="H75" s="182">
        <v>7071</v>
      </c>
      <c r="I75" s="182">
        <v>36627</v>
      </c>
      <c r="J75" s="215">
        <f t="shared" si="6"/>
        <v>1454</v>
      </c>
      <c r="K75" s="182">
        <v>1277</v>
      </c>
      <c r="L75" s="182">
        <f>116+61</f>
        <v>177</v>
      </c>
      <c r="M75" s="182">
        <v>1634</v>
      </c>
      <c r="N75" s="182">
        <v>8434</v>
      </c>
      <c r="O75" s="182">
        <v>900</v>
      </c>
      <c r="P75" s="182">
        <v>760</v>
      </c>
      <c r="Q75" s="250">
        <f t="shared" si="7"/>
        <v>0.8444444444444444</v>
      </c>
    </row>
    <row r="76" ht="12.75"/>
    <row r="77" ht="12.75"/>
    <row r="78" spans="1:17" s="210" customFormat="1" ht="12.75">
      <c r="A78" s="47"/>
      <c r="B78" s="47" t="s">
        <v>264</v>
      </c>
      <c r="C78" s="47" t="s">
        <v>286</v>
      </c>
      <c r="D78" s="47"/>
      <c r="E78" s="47"/>
      <c r="F78" s="47"/>
      <c r="G78" s="47"/>
      <c r="H78" s="47"/>
      <c r="I78" s="47"/>
      <c r="J78" s="47"/>
      <c r="K78" s="212"/>
      <c r="L78" s="47"/>
      <c r="M78" s="47"/>
      <c r="N78" s="47"/>
      <c r="O78" s="47"/>
      <c r="P78" s="47"/>
      <c r="Q78" s="47"/>
    </row>
    <row r="79" spans="1:17" s="211" customFormat="1" ht="12.75">
      <c r="A79" s="47"/>
      <c r="B79" s="47" t="s">
        <v>293</v>
      </c>
      <c r="C79" s="47" t="s">
        <v>296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1:17" s="211" customFormat="1" ht="12.75">
      <c r="A80" s="47"/>
      <c r="B80" s="47" t="s">
        <v>295</v>
      </c>
      <c r="C80" s="224" t="s">
        <v>299</v>
      </c>
      <c r="D80" s="225"/>
      <c r="E80" s="224"/>
      <c r="F80" s="224"/>
      <c r="G80" s="224"/>
      <c r="H80" s="224"/>
      <c r="I80" s="224"/>
      <c r="J80" s="224"/>
      <c r="K80" s="226"/>
      <c r="L80" s="47"/>
      <c r="M80" s="47"/>
      <c r="N80" s="47"/>
      <c r="O80" s="47"/>
      <c r="P80" s="47"/>
      <c r="Q80" s="47"/>
    </row>
    <row r="81" spans="2:3" ht="12.75">
      <c r="B81" s="309"/>
      <c r="C81" s="47" t="s">
        <v>322</v>
      </c>
    </row>
    <row r="82" ht="12.75">
      <c r="B82" s="5" t="s">
        <v>272</v>
      </c>
    </row>
  </sheetData>
  <sheetProtection/>
  <mergeCells count="27">
    <mergeCell ref="A12:B12"/>
    <mergeCell ref="G8:H8"/>
    <mergeCell ref="H9:H10"/>
    <mergeCell ref="I7:I10"/>
    <mergeCell ref="A11:B11"/>
    <mergeCell ref="E9:E10"/>
    <mergeCell ref="F9:F10"/>
    <mergeCell ref="C9:C10"/>
    <mergeCell ref="D9:D10"/>
    <mergeCell ref="C7:H7"/>
    <mergeCell ref="A1:B1"/>
    <mergeCell ref="C8:D8"/>
    <mergeCell ref="A2:P2"/>
    <mergeCell ref="A4:P4"/>
    <mergeCell ref="A6:B10"/>
    <mergeCell ref="C6:L6"/>
    <mergeCell ref="M6:Q6"/>
    <mergeCell ref="O7:O10"/>
    <mergeCell ref="P7:P10"/>
    <mergeCell ref="M7:M10"/>
    <mergeCell ref="Q7:Q10"/>
    <mergeCell ref="G9:G10"/>
    <mergeCell ref="J9:J10"/>
    <mergeCell ref="E8:F8"/>
    <mergeCell ref="J7:L8"/>
    <mergeCell ref="K9:L9"/>
    <mergeCell ref="N7:N10"/>
  </mergeCells>
  <printOptions/>
  <pageMargins left="0.35" right="0.15" top="1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25"/>
  <sheetViews>
    <sheetView view="pageLayout" workbookViewId="0" topLeftCell="A1">
      <selection activeCell="D14" sqref="D14"/>
    </sheetView>
  </sheetViews>
  <sheetFormatPr defaultColWidth="9.140625" defaultRowHeight="12.75"/>
  <cols>
    <col min="1" max="1" width="3.8515625" style="0" customWidth="1"/>
    <col min="2" max="2" width="8.8515625" style="0" customWidth="1"/>
    <col min="3" max="3" width="11.28125" style="63" customWidth="1"/>
    <col min="4" max="4" width="9.8515625" style="0" customWidth="1"/>
    <col min="5" max="6" width="8.57421875" style="0" customWidth="1"/>
    <col min="7" max="8" width="8.7109375" style="0" customWidth="1"/>
    <col min="9" max="9" width="8.421875" style="0" customWidth="1"/>
    <col min="10" max="12" width="6.7109375" style="0" customWidth="1"/>
    <col min="13" max="13" width="6.57421875" style="0" customWidth="1"/>
    <col min="14" max="14" width="6.140625" style="0" customWidth="1"/>
    <col min="15" max="15" width="5.28125" style="0" customWidth="1"/>
    <col min="16" max="16" width="6.28125" style="0" customWidth="1"/>
    <col min="17" max="17" width="6.57421875" style="0" customWidth="1"/>
    <col min="18" max="18" width="5.57421875" style="0" customWidth="1"/>
    <col min="19" max="19" width="5.8515625" style="0" customWidth="1"/>
    <col min="20" max="20" width="5.421875" style="0" customWidth="1"/>
  </cols>
  <sheetData>
    <row r="1" spans="1:9" ht="18.75">
      <c r="A1" s="95" t="s">
        <v>7</v>
      </c>
      <c r="B1" s="95"/>
      <c r="C1" s="79"/>
      <c r="D1" s="44"/>
      <c r="E1" s="44"/>
      <c r="F1" s="41"/>
      <c r="G1" s="41"/>
      <c r="H1" s="41"/>
      <c r="I1" s="41"/>
    </row>
    <row r="2" spans="1:18" ht="18.75">
      <c r="A2" s="366" t="s">
        <v>70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8" ht="20.25" customHeight="1">
      <c r="A3" s="379" t="s">
        <v>146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</row>
    <row r="4" spans="1:18" ht="20.25" customHeight="1">
      <c r="A4" s="366" t="s">
        <v>172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</row>
    <row r="5" spans="1:8" ht="20.25" customHeight="1">
      <c r="A5" s="45"/>
      <c r="B5" s="45"/>
      <c r="C5" s="80"/>
      <c r="D5" s="45"/>
      <c r="E5" s="45"/>
      <c r="F5" s="45"/>
      <c r="G5" s="45"/>
      <c r="H5" s="45"/>
    </row>
    <row r="6" spans="1:20" s="49" customFormat="1" ht="15.75" customHeight="1">
      <c r="A6" s="384"/>
      <c r="B6" s="384"/>
      <c r="C6" s="381" t="s">
        <v>5</v>
      </c>
      <c r="D6" s="382"/>
      <c r="E6" s="383"/>
      <c r="F6" s="387" t="s">
        <v>2</v>
      </c>
      <c r="G6" s="387"/>
      <c r="H6" s="387"/>
      <c r="I6" s="387"/>
      <c r="J6" s="387"/>
      <c r="K6" s="387"/>
      <c r="L6" s="387"/>
      <c r="M6" s="380" t="s">
        <v>67</v>
      </c>
      <c r="N6" s="380"/>
      <c r="O6" s="380"/>
      <c r="P6" s="380"/>
      <c r="Q6" s="380"/>
      <c r="R6" s="380"/>
      <c r="S6" s="359" t="s">
        <v>162</v>
      </c>
      <c r="T6" s="359"/>
    </row>
    <row r="7" spans="1:20" s="36" customFormat="1" ht="15.75" customHeight="1">
      <c r="A7" s="384"/>
      <c r="B7" s="384"/>
      <c r="C7" s="315" t="s">
        <v>102</v>
      </c>
      <c r="D7" s="320" t="s">
        <v>103</v>
      </c>
      <c r="E7" s="320" t="s">
        <v>60</v>
      </c>
      <c r="F7" s="320" t="s">
        <v>61</v>
      </c>
      <c r="G7" s="320" t="s">
        <v>62</v>
      </c>
      <c r="H7" s="385" t="s">
        <v>68</v>
      </c>
      <c r="I7" s="385"/>
      <c r="J7" s="385"/>
      <c r="K7" s="320" t="s">
        <v>63</v>
      </c>
      <c r="L7" s="320"/>
      <c r="M7" s="386" t="s">
        <v>9</v>
      </c>
      <c r="N7" s="320" t="s">
        <v>44</v>
      </c>
      <c r="O7" s="320"/>
      <c r="P7" s="320"/>
      <c r="Q7" s="320"/>
      <c r="R7" s="320"/>
      <c r="S7" s="359" t="s">
        <v>308</v>
      </c>
      <c r="T7" s="359" t="s">
        <v>309</v>
      </c>
    </row>
    <row r="8" spans="1:20" s="36" customFormat="1" ht="24.75" customHeight="1">
      <c r="A8" s="384"/>
      <c r="B8" s="384"/>
      <c r="C8" s="316"/>
      <c r="D8" s="320"/>
      <c r="E8" s="320"/>
      <c r="F8" s="320"/>
      <c r="G8" s="320"/>
      <c r="H8" s="320" t="s">
        <v>9</v>
      </c>
      <c r="I8" s="385" t="s">
        <v>44</v>
      </c>
      <c r="J8" s="385"/>
      <c r="K8" s="320"/>
      <c r="L8" s="320"/>
      <c r="M8" s="386"/>
      <c r="N8" s="320" t="s">
        <v>64</v>
      </c>
      <c r="O8" s="320" t="s">
        <v>65</v>
      </c>
      <c r="P8" s="320"/>
      <c r="Q8" s="320"/>
      <c r="R8" s="320"/>
      <c r="S8" s="359"/>
      <c r="T8" s="359"/>
    </row>
    <row r="9" spans="1:20" s="36" customFormat="1" ht="24.75" customHeight="1">
      <c r="A9" s="384"/>
      <c r="B9" s="384"/>
      <c r="C9" s="316"/>
      <c r="D9" s="320"/>
      <c r="E9" s="320"/>
      <c r="F9" s="320"/>
      <c r="G9" s="320"/>
      <c r="H9" s="320"/>
      <c r="I9" s="320" t="s">
        <v>3</v>
      </c>
      <c r="J9" s="320" t="s">
        <v>4</v>
      </c>
      <c r="K9" s="315" t="s">
        <v>9</v>
      </c>
      <c r="L9" s="320" t="s">
        <v>104</v>
      </c>
      <c r="M9" s="386"/>
      <c r="N9" s="320"/>
      <c r="O9" s="320" t="s">
        <v>9</v>
      </c>
      <c r="P9" s="320" t="s">
        <v>66</v>
      </c>
      <c r="Q9" s="320"/>
      <c r="R9" s="320"/>
      <c r="S9" s="359"/>
      <c r="T9" s="359"/>
    </row>
    <row r="10" spans="1:20" s="36" customFormat="1" ht="86.25" customHeight="1">
      <c r="A10" s="384"/>
      <c r="B10" s="384"/>
      <c r="C10" s="317"/>
      <c r="D10" s="320"/>
      <c r="E10" s="320"/>
      <c r="F10" s="320"/>
      <c r="G10" s="320"/>
      <c r="H10" s="320"/>
      <c r="I10" s="320"/>
      <c r="J10" s="320"/>
      <c r="K10" s="317"/>
      <c r="L10" s="320"/>
      <c r="M10" s="386"/>
      <c r="N10" s="320"/>
      <c r="O10" s="320"/>
      <c r="P10" s="60" t="s">
        <v>22</v>
      </c>
      <c r="Q10" s="60" t="s">
        <v>23</v>
      </c>
      <c r="R10" s="60" t="s">
        <v>24</v>
      </c>
      <c r="S10" s="359"/>
      <c r="T10" s="359"/>
    </row>
    <row r="11" spans="1:20" s="36" customFormat="1" ht="12.75">
      <c r="A11" s="349" t="s">
        <v>40</v>
      </c>
      <c r="B11" s="351"/>
      <c r="C11" s="68">
        <v>1</v>
      </c>
      <c r="D11" s="68">
        <v>2</v>
      </c>
      <c r="E11" s="68">
        <v>3</v>
      </c>
      <c r="F11" s="69">
        <v>4</v>
      </c>
      <c r="G11" s="69">
        <v>5</v>
      </c>
      <c r="H11" s="69">
        <v>6</v>
      </c>
      <c r="I11" s="88">
        <v>7</v>
      </c>
      <c r="J11" s="89">
        <v>8</v>
      </c>
      <c r="K11" s="90">
        <v>9</v>
      </c>
      <c r="L11" s="89">
        <v>10</v>
      </c>
      <c r="M11" s="68">
        <v>11</v>
      </c>
      <c r="N11" s="69">
        <v>12</v>
      </c>
      <c r="O11" s="88">
        <v>13</v>
      </c>
      <c r="P11" s="68">
        <v>14</v>
      </c>
      <c r="Q11" s="68">
        <v>15</v>
      </c>
      <c r="R11" s="68">
        <v>16</v>
      </c>
      <c r="S11" s="68">
        <v>17</v>
      </c>
      <c r="T11" s="68">
        <v>18</v>
      </c>
    </row>
    <row r="12" spans="1:20" ht="29.25" customHeight="1">
      <c r="A12" s="391" t="s">
        <v>95</v>
      </c>
      <c r="B12" s="391"/>
      <c r="C12" s="177">
        <f aca="true" t="shared" si="0" ref="C12:T12">SUM(C13:C75)</f>
        <v>34230224</v>
      </c>
      <c r="D12" s="177">
        <f t="shared" si="0"/>
        <v>2751158</v>
      </c>
      <c r="E12" s="177">
        <f t="shared" si="0"/>
        <v>198089.72666100002</v>
      </c>
      <c r="F12" s="177">
        <f t="shared" si="0"/>
        <v>910716</v>
      </c>
      <c r="G12" s="177">
        <f t="shared" si="0"/>
        <v>218234</v>
      </c>
      <c r="H12" s="177">
        <f t="shared" si="0"/>
        <v>438688</v>
      </c>
      <c r="I12" s="177">
        <f t="shared" si="0"/>
        <v>432689</v>
      </c>
      <c r="J12" s="177">
        <f t="shared" si="0"/>
        <v>5999</v>
      </c>
      <c r="K12" s="177">
        <f t="shared" si="0"/>
        <v>3524</v>
      </c>
      <c r="L12" s="177">
        <f t="shared" si="0"/>
        <v>3436</v>
      </c>
      <c r="M12" s="177">
        <f t="shared" si="0"/>
        <v>1082</v>
      </c>
      <c r="N12" s="177">
        <f t="shared" si="0"/>
        <v>980</v>
      </c>
      <c r="O12" s="177">
        <f t="shared" si="0"/>
        <v>102</v>
      </c>
      <c r="P12" s="177">
        <f t="shared" si="0"/>
        <v>57</v>
      </c>
      <c r="Q12" s="177">
        <f t="shared" si="0"/>
        <v>39</v>
      </c>
      <c r="R12" s="177">
        <f t="shared" si="0"/>
        <v>5</v>
      </c>
      <c r="S12" s="177">
        <f t="shared" si="0"/>
        <v>0</v>
      </c>
      <c r="T12" s="177">
        <f t="shared" si="0"/>
        <v>22</v>
      </c>
    </row>
    <row r="13" spans="1:20" ht="18" customHeight="1">
      <c r="A13" s="189">
        <v>1</v>
      </c>
      <c r="B13" s="190" t="s">
        <v>175</v>
      </c>
      <c r="C13" s="205">
        <v>258496</v>
      </c>
      <c r="D13" s="205">
        <v>13895</v>
      </c>
      <c r="E13" s="205">
        <v>707.6765</v>
      </c>
      <c r="F13" s="182">
        <v>21071</v>
      </c>
      <c r="G13" s="182">
        <v>7795</v>
      </c>
      <c r="H13" s="252">
        <f aca="true" t="shared" si="1" ref="H13:H28">I13+J13</f>
        <v>11018</v>
      </c>
      <c r="I13" s="192">
        <v>10873</v>
      </c>
      <c r="J13" s="192">
        <v>145</v>
      </c>
      <c r="K13" s="170">
        <v>35</v>
      </c>
      <c r="L13" s="192">
        <v>35</v>
      </c>
      <c r="M13" s="253">
        <f aca="true" t="shared" si="2" ref="M13:M30">N13+O13</f>
        <v>22</v>
      </c>
      <c r="N13" s="192">
        <v>21</v>
      </c>
      <c r="O13" s="253">
        <f aca="true" t="shared" si="3" ref="O13:O30">P13+Q13+R13</f>
        <v>1</v>
      </c>
      <c r="P13" s="192">
        <v>1</v>
      </c>
      <c r="Q13" s="192"/>
      <c r="R13" s="192"/>
      <c r="S13" s="253">
        <v>0</v>
      </c>
      <c r="T13" s="254">
        <v>5</v>
      </c>
    </row>
    <row r="14" spans="1:20" ht="25.5">
      <c r="A14" s="189">
        <v>2</v>
      </c>
      <c r="B14" s="190" t="s">
        <v>263</v>
      </c>
      <c r="C14" s="205">
        <v>97751</v>
      </c>
      <c r="D14" s="205">
        <v>4435</v>
      </c>
      <c r="E14" s="205">
        <v>354.822</v>
      </c>
      <c r="F14" s="192">
        <v>4448</v>
      </c>
      <c r="G14" s="192">
        <v>964</v>
      </c>
      <c r="H14" s="252">
        <f t="shared" si="1"/>
        <v>3059</v>
      </c>
      <c r="I14" s="192">
        <v>2863</v>
      </c>
      <c r="J14" s="192">
        <v>196</v>
      </c>
      <c r="K14" s="192">
        <v>53</v>
      </c>
      <c r="L14" s="192">
        <v>53</v>
      </c>
      <c r="M14" s="253">
        <f t="shared" si="2"/>
        <v>13</v>
      </c>
      <c r="N14" s="192">
        <v>6</v>
      </c>
      <c r="O14" s="253">
        <f t="shared" si="3"/>
        <v>7</v>
      </c>
      <c r="P14" s="192">
        <v>0</v>
      </c>
      <c r="Q14" s="192">
        <v>7</v>
      </c>
      <c r="R14" s="192">
        <v>0</v>
      </c>
      <c r="S14" s="253">
        <v>0</v>
      </c>
      <c r="T14" s="192">
        <v>0</v>
      </c>
    </row>
    <row r="15" spans="1:20" ht="18" customHeight="1">
      <c r="A15" s="189">
        <v>3</v>
      </c>
      <c r="B15" s="190" t="s">
        <v>176</v>
      </c>
      <c r="C15" s="205">
        <v>283288</v>
      </c>
      <c r="D15" s="205">
        <v>8867</v>
      </c>
      <c r="E15" s="205">
        <v>824</v>
      </c>
      <c r="F15" s="182" t="s">
        <v>200</v>
      </c>
      <c r="G15" s="182" t="s">
        <v>201</v>
      </c>
      <c r="H15" s="252">
        <f t="shared" si="1"/>
        <v>11599</v>
      </c>
      <c r="I15" s="192">
        <v>11547</v>
      </c>
      <c r="J15" s="192">
        <v>52</v>
      </c>
      <c r="K15" s="192">
        <v>21</v>
      </c>
      <c r="L15" s="192">
        <v>17</v>
      </c>
      <c r="M15" s="253">
        <f t="shared" si="2"/>
        <v>31</v>
      </c>
      <c r="N15" s="192">
        <v>24</v>
      </c>
      <c r="O15" s="253">
        <f t="shared" si="3"/>
        <v>7</v>
      </c>
      <c r="P15" s="192">
        <v>2</v>
      </c>
      <c r="Q15" s="192">
        <v>0</v>
      </c>
      <c r="R15" s="192">
        <v>5</v>
      </c>
      <c r="S15" s="253">
        <v>0</v>
      </c>
      <c r="T15" s="192">
        <v>0</v>
      </c>
    </row>
    <row r="16" spans="1:20" ht="18" customHeight="1">
      <c r="A16" s="189">
        <v>4</v>
      </c>
      <c r="B16" s="190" t="s">
        <v>177</v>
      </c>
      <c r="C16" s="205">
        <v>97563</v>
      </c>
      <c r="D16" s="205">
        <v>178</v>
      </c>
      <c r="E16" s="205">
        <v>314</v>
      </c>
      <c r="F16" s="182">
        <v>3015</v>
      </c>
      <c r="G16" s="182">
        <v>913</v>
      </c>
      <c r="H16" s="252">
        <f t="shared" si="1"/>
        <v>1673</v>
      </c>
      <c r="I16" s="192">
        <v>1670</v>
      </c>
      <c r="J16" s="192">
        <v>3</v>
      </c>
      <c r="K16" s="192">
        <v>2</v>
      </c>
      <c r="L16" s="192">
        <v>2</v>
      </c>
      <c r="M16" s="253">
        <f t="shared" si="2"/>
        <v>6</v>
      </c>
      <c r="N16" s="192">
        <v>4</v>
      </c>
      <c r="O16" s="253">
        <f t="shared" si="3"/>
        <v>2</v>
      </c>
      <c r="P16" s="192">
        <v>0</v>
      </c>
      <c r="Q16" s="192">
        <v>2</v>
      </c>
      <c r="R16" s="192">
        <v>0</v>
      </c>
      <c r="S16" s="253">
        <v>0</v>
      </c>
      <c r="T16" s="255">
        <v>0</v>
      </c>
    </row>
    <row r="17" spans="1:20" ht="18" customHeight="1">
      <c r="A17" s="189">
        <v>5</v>
      </c>
      <c r="B17" s="190" t="s">
        <v>178</v>
      </c>
      <c r="C17" s="205">
        <v>150462</v>
      </c>
      <c r="D17" s="205">
        <v>3760</v>
      </c>
      <c r="E17" s="205">
        <v>405.054</v>
      </c>
      <c r="F17" s="192">
        <v>9322</v>
      </c>
      <c r="G17" s="192">
        <v>1801</v>
      </c>
      <c r="H17" s="252">
        <f t="shared" si="1"/>
        <v>4582</v>
      </c>
      <c r="I17" s="192">
        <v>4497</v>
      </c>
      <c r="J17" s="192">
        <v>85</v>
      </c>
      <c r="K17" s="192">
        <v>9</v>
      </c>
      <c r="L17" s="192">
        <v>8</v>
      </c>
      <c r="M17" s="253">
        <f t="shared" si="2"/>
        <v>19</v>
      </c>
      <c r="N17" s="192">
        <v>8</v>
      </c>
      <c r="O17" s="253">
        <f t="shared" si="3"/>
        <v>11</v>
      </c>
      <c r="P17" s="192">
        <v>11</v>
      </c>
      <c r="Q17" s="192">
        <v>0</v>
      </c>
      <c r="R17" s="192">
        <v>0</v>
      </c>
      <c r="S17" s="253">
        <v>0</v>
      </c>
      <c r="T17" s="192">
        <v>0</v>
      </c>
    </row>
    <row r="18" spans="1:20" ht="18" customHeight="1">
      <c r="A18" s="189">
        <v>6</v>
      </c>
      <c r="B18" s="190" t="s">
        <v>179</v>
      </c>
      <c r="C18" s="205">
        <v>159314</v>
      </c>
      <c r="D18" s="205">
        <v>3696</v>
      </c>
      <c r="E18" s="205">
        <v>1011</v>
      </c>
      <c r="F18" s="192">
        <v>14162</v>
      </c>
      <c r="G18" s="192">
        <v>2789</v>
      </c>
      <c r="H18" s="252">
        <f t="shared" si="1"/>
        <v>6893</v>
      </c>
      <c r="I18" s="192">
        <v>6867</v>
      </c>
      <c r="J18" s="192">
        <v>26</v>
      </c>
      <c r="K18" s="192">
        <v>24</v>
      </c>
      <c r="L18" s="192">
        <v>22</v>
      </c>
      <c r="M18" s="253">
        <f t="shared" si="2"/>
        <v>20</v>
      </c>
      <c r="N18" s="192">
        <v>19</v>
      </c>
      <c r="O18" s="253">
        <f t="shared" si="3"/>
        <v>1</v>
      </c>
      <c r="P18" s="192">
        <v>1</v>
      </c>
      <c r="Q18" s="192">
        <v>0</v>
      </c>
      <c r="R18" s="192">
        <v>0</v>
      </c>
      <c r="S18" s="253">
        <v>0</v>
      </c>
      <c r="T18" s="192">
        <v>0</v>
      </c>
    </row>
    <row r="19" spans="1:20" ht="18" customHeight="1">
      <c r="A19" s="189">
        <v>7</v>
      </c>
      <c r="B19" s="190" t="s">
        <v>180</v>
      </c>
      <c r="C19" s="205">
        <v>271660</v>
      </c>
      <c r="D19" s="205">
        <v>10864</v>
      </c>
      <c r="E19" s="205">
        <v>1139.688</v>
      </c>
      <c r="F19" s="192">
        <v>12312</v>
      </c>
      <c r="G19" s="192">
        <v>4505</v>
      </c>
      <c r="H19" s="252">
        <f t="shared" si="1"/>
        <v>7348</v>
      </c>
      <c r="I19" s="192">
        <v>7231</v>
      </c>
      <c r="J19" s="192">
        <v>117</v>
      </c>
      <c r="K19" s="192">
        <v>11</v>
      </c>
      <c r="L19" s="192">
        <v>10</v>
      </c>
      <c r="M19" s="253">
        <f t="shared" si="2"/>
        <v>22</v>
      </c>
      <c r="N19" s="192">
        <v>22</v>
      </c>
      <c r="O19" s="253">
        <f t="shared" si="3"/>
        <v>0</v>
      </c>
      <c r="P19" s="192">
        <v>0</v>
      </c>
      <c r="Q19" s="192">
        <v>0</v>
      </c>
      <c r="R19" s="192">
        <v>0</v>
      </c>
      <c r="S19" s="253">
        <v>0</v>
      </c>
      <c r="T19" s="192">
        <v>0</v>
      </c>
    </row>
    <row r="20" spans="1:20" ht="18" customHeight="1">
      <c r="A20" s="189">
        <v>8</v>
      </c>
      <c r="B20" s="190" t="s">
        <v>181</v>
      </c>
      <c r="C20" s="205">
        <v>314656</v>
      </c>
      <c r="D20" s="205">
        <v>3245</v>
      </c>
      <c r="E20" s="205">
        <v>1763</v>
      </c>
      <c r="F20" s="182">
        <v>14369</v>
      </c>
      <c r="G20" s="182">
        <v>4329</v>
      </c>
      <c r="H20" s="252">
        <f t="shared" si="1"/>
        <v>6712</v>
      </c>
      <c r="I20" s="192">
        <v>6671</v>
      </c>
      <c r="J20" s="192">
        <v>41</v>
      </c>
      <c r="K20" s="192">
        <v>1</v>
      </c>
      <c r="L20" s="192">
        <v>1</v>
      </c>
      <c r="M20" s="253">
        <f t="shared" si="2"/>
        <v>5</v>
      </c>
      <c r="N20" s="192">
        <v>5</v>
      </c>
      <c r="O20" s="253">
        <f t="shared" si="3"/>
        <v>0</v>
      </c>
      <c r="P20" s="192">
        <v>0</v>
      </c>
      <c r="Q20" s="192">
        <v>0</v>
      </c>
      <c r="R20" s="192">
        <v>0</v>
      </c>
      <c r="S20" s="253">
        <v>0</v>
      </c>
      <c r="T20" s="254">
        <v>0</v>
      </c>
    </row>
    <row r="21" spans="1:20" ht="25.5">
      <c r="A21" s="189">
        <v>9</v>
      </c>
      <c r="B21" s="190" t="s">
        <v>182</v>
      </c>
      <c r="C21" s="205">
        <v>735251</v>
      </c>
      <c r="D21" s="205">
        <v>26961</v>
      </c>
      <c r="E21" s="205">
        <v>2168</v>
      </c>
      <c r="F21" s="182">
        <v>8754</v>
      </c>
      <c r="G21" s="182">
        <v>1808</v>
      </c>
      <c r="H21" s="252">
        <f t="shared" si="1"/>
        <v>3256</v>
      </c>
      <c r="I21" s="192">
        <v>3197</v>
      </c>
      <c r="J21" s="192">
        <v>59</v>
      </c>
      <c r="K21" s="192">
        <v>8</v>
      </c>
      <c r="L21" s="192">
        <v>0</v>
      </c>
      <c r="M21" s="253">
        <f t="shared" si="2"/>
        <v>9</v>
      </c>
      <c r="N21" s="192">
        <v>9</v>
      </c>
      <c r="O21" s="253">
        <f t="shared" si="3"/>
        <v>0</v>
      </c>
      <c r="P21" s="192">
        <v>0</v>
      </c>
      <c r="Q21" s="192">
        <v>0</v>
      </c>
      <c r="R21" s="192">
        <v>0</v>
      </c>
      <c r="S21" s="253">
        <v>0</v>
      </c>
      <c r="T21" s="254">
        <v>0</v>
      </c>
    </row>
    <row r="22" spans="1:20" ht="25.5">
      <c r="A22" s="189">
        <v>10</v>
      </c>
      <c r="B22" s="190" t="s">
        <v>183</v>
      </c>
      <c r="C22" s="205">
        <v>157964</v>
      </c>
      <c r="D22" s="205">
        <v>381</v>
      </c>
      <c r="E22" s="205">
        <v>324.168</v>
      </c>
      <c r="F22" s="192">
        <v>11213</v>
      </c>
      <c r="G22" s="192">
        <v>1405</v>
      </c>
      <c r="H22" s="252">
        <f t="shared" si="1"/>
        <v>2280</v>
      </c>
      <c r="I22" s="192">
        <v>2254</v>
      </c>
      <c r="J22" s="192">
        <v>26</v>
      </c>
      <c r="K22" s="192">
        <v>5</v>
      </c>
      <c r="L22" s="192">
        <v>5</v>
      </c>
      <c r="M22" s="253">
        <f t="shared" si="2"/>
        <v>0</v>
      </c>
      <c r="N22" s="192">
        <v>0</v>
      </c>
      <c r="O22" s="253">
        <f t="shared" si="3"/>
        <v>0</v>
      </c>
      <c r="P22" s="192">
        <v>0</v>
      </c>
      <c r="Q22" s="192">
        <v>0</v>
      </c>
      <c r="R22" s="192">
        <v>0</v>
      </c>
      <c r="S22" s="253">
        <v>0</v>
      </c>
      <c r="T22" s="192">
        <v>0</v>
      </c>
    </row>
    <row r="23" spans="1:20" ht="25.5">
      <c r="A23" s="189">
        <v>11</v>
      </c>
      <c r="B23" s="190" t="s">
        <v>184</v>
      </c>
      <c r="C23" s="205">
        <v>96275</v>
      </c>
      <c r="D23" s="205">
        <v>7339</v>
      </c>
      <c r="E23" s="205">
        <v>465.941</v>
      </c>
      <c r="F23" s="182">
        <v>9540</v>
      </c>
      <c r="G23" s="182">
        <v>1847</v>
      </c>
      <c r="H23" s="252">
        <f t="shared" si="1"/>
        <v>4200</v>
      </c>
      <c r="I23" s="192">
        <v>4068</v>
      </c>
      <c r="J23" s="192">
        <v>132</v>
      </c>
      <c r="K23" s="192">
        <v>122</v>
      </c>
      <c r="L23" s="192">
        <v>101</v>
      </c>
      <c r="M23" s="253">
        <f t="shared" si="2"/>
        <v>5</v>
      </c>
      <c r="N23" s="192">
        <v>5</v>
      </c>
      <c r="O23" s="253">
        <f t="shared" si="3"/>
        <v>0</v>
      </c>
      <c r="P23" s="192">
        <v>0</v>
      </c>
      <c r="Q23" s="192">
        <v>0</v>
      </c>
      <c r="R23" s="192">
        <v>0</v>
      </c>
      <c r="S23" s="253">
        <v>0</v>
      </c>
      <c r="T23" s="254">
        <v>0</v>
      </c>
    </row>
    <row r="24" spans="1:20" ht="18" customHeight="1">
      <c r="A24" s="189">
        <v>12</v>
      </c>
      <c r="B24" s="190" t="s">
        <v>185</v>
      </c>
      <c r="C24" s="205">
        <v>434779</v>
      </c>
      <c r="D24" s="205">
        <v>8721</v>
      </c>
      <c r="E24" s="205">
        <v>318.5489999999999</v>
      </c>
      <c r="F24" s="182">
        <v>22310</v>
      </c>
      <c r="G24" s="182">
        <v>3021</v>
      </c>
      <c r="H24" s="252">
        <f t="shared" si="1"/>
        <v>8748</v>
      </c>
      <c r="I24" s="192">
        <v>8686</v>
      </c>
      <c r="J24" s="192">
        <v>62</v>
      </c>
      <c r="K24" s="192">
        <v>23</v>
      </c>
      <c r="L24" s="192">
        <v>23</v>
      </c>
      <c r="M24" s="253">
        <f t="shared" si="2"/>
        <v>3</v>
      </c>
      <c r="N24" s="192">
        <v>3</v>
      </c>
      <c r="O24" s="253">
        <f t="shared" si="3"/>
        <v>0</v>
      </c>
      <c r="P24" s="192">
        <v>0</v>
      </c>
      <c r="Q24" s="192">
        <v>0</v>
      </c>
      <c r="R24" s="192">
        <v>0</v>
      </c>
      <c r="S24" s="253">
        <v>0</v>
      </c>
      <c r="T24" s="254">
        <v>0</v>
      </c>
    </row>
    <row r="25" spans="1:20" ht="18" customHeight="1">
      <c r="A25" s="189">
        <v>13</v>
      </c>
      <c r="B25" s="190" t="s">
        <v>186</v>
      </c>
      <c r="C25" s="205">
        <v>283818</v>
      </c>
      <c r="D25" s="205">
        <v>9550</v>
      </c>
      <c r="E25" s="205">
        <v>1576.9779999999998</v>
      </c>
      <c r="F25" s="182">
        <v>13360</v>
      </c>
      <c r="G25" s="182">
        <v>3209</v>
      </c>
      <c r="H25" s="252">
        <f t="shared" si="1"/>
        <v>6898</v>
      </c>
      <c r="I25" s="192">
        <v>6685</v>
      </c>
      <c r="J25" s="192">
        <v>213</v>
      </c>
      <c r="K25" s="192">
        <v>380</v>
      </c>
      <c r="L25" s="192">
        <v>380</v>
      </c>
      <c r="M25" s="253">
        <f t="shared" si="2"/>
        <v>35</v>
      </c>
      <c r="N25" s="192">
        <v>35</v>
      </c>
      <c r="O25" s="253">
        <f t="shared" si="3"/>
        <v>0</v>
      </c>
      <c r="P25" s="192">
        <v>0</v>
      </c>
      <c r="Q25" s="192">
        <v>0</v>
      </c>
      <c r="R25" s="192">
        <v>0</v>
      </c>
      <c r="S25" s="253">
        <v>0</v>
      </c>
      <c r="T25" s="254">
        <v>6</v>
      </c>
    </row>
    <row r="26" spans="1:20" ht="18" customHeight="1">
      <c r="A26" s="189">
        <v>14</v>
      </c>
      <c r="B26" s="190" t="s">
        <v>187</v>
      </c>
      <c r="C26" s="205">
        <v>36141</v>
      </c>
      <c r="D26" s="205">
        <v>0</v>
      </c>
      <c r="E26" s="205">
        <v>117</v>
      </c>
      <c r="F26" s="182">
        <v>2842</v>
      </c>
      <c r="G26" s="182">
        <v>602</v>
      </c>
      <c r="H26" s="252">
        <f t="shared" si="1"/>
        <v>1643</v>
      </c>
      <c r="I26" s="192">
        <v>1643</v>
      </c>
      <c r="J26" s="192"/>
      <c r="K26" s="192"/>
      <c r="L26" s="192"/>
      <c r="M26" s="253">
        <f t="shared" si="2"/>
        <v>2</v>
      </c>
      <c r="N26" s="192">
        <v>2</v>
      </c>
      <c r="O26" s="253">
        <f t="shared" si="3"/>
        <v>0</v>
      </c>
      <c r="P26" s="192">
        <v>0</v>
      </c>
      <c r="Q26" s="192">
        <v>0</v>
      </c>
      <c r="R26" s="192">
        <v>0</v>
      </c>
      <c r="S26" s="253">
        <v>0</v>
      </c>
      <c r="T26" s="254">
        <v>0</v>
      </c>
    </row>
    <row r="27" spans="1:20" ht="18" customHeight="1">
      <c r="A27" s="189">
        <v>15</v>
      </c>
      <c r="B27" s="190" t="s">
        <v>188</v>
      </c>
      <c r="C27" s="205">
        <v>5363786</v>
      </c>
      <c r="D27" s="205">
        <v>13608</v>
      </c>
      <c r="E27" s="205">
        <v>3192.627</v>
      </c>
      <c r="F27" s="182">
        <v>9221</v>
      </c>
      <c r="G27" s="182">
        <v>1722</v>
      </c>
      <c r="H27" s="252">
        <f t="shared" si="1"/>
        <v>4392</v>
      </c>
      <c r="I27" s="192">
        <v>4282</v>
      </c>
      <c r="J27" s="192">
        <v>110</v>
      </c>
      <c r="K27" s="192">
        <v>0</v>
      </c>
      <c r="L27" s="192">
        <v>0</v>
      </c>
      <c r="M27" s="253">
        <f t="shared" si="2"/>
        <v>16</v>
      </c>
      <c r="N27" s="192">
        <v>15</v>
      </c>
      <c r="O27" s="253">
        <f t="shared" si="3"/>
        <v>1</v>
      </c>
      <c r="P27" s="192">
        <v>0</v>
      </c>
      <c r="Q27" s="192">
        <v>1</v>
      </c>
      <c r="R27" s="192">
        <v>0</v>
      </c>
      <c r="S27" s="253">
        <v>0</v>
      </c>
      <c r="T27" s="254">
        <v>0</v>
      </c>
    </row>
    <row r="28" spans="1:20" ht="18" customHeight="1">
      <c r="A28" s="189">
        <v>16</v>
      </c>
      <c r="B28" s="190" t="s">
        <v>189</v>
      </c>
      <c r="C28" s="205">
        <v>486547</v>
      </c>
      <c r="D28" s="205">
        <v>27676</v>
      </c>
      <c r="E28" s="205">
        <v>2534</v>
      </c>
      <c r="F28" s="182">
        <v>12319</v>
      </c>
      <c r="G28" s="182">
        <v>2203</v>
      </c>
      <c r="H28" s="252">
        <f t="shared" si="1"/>
        <v>5307</v>
      </c>
      <c r="I28" s="192">
        <v>5262</v>
      </c>
      <c r="J28" s="192">
        <v>45</v>
      </c>
      <c r="K28" s="192">
        <v>1</v>
      </c>
      <c r="L28" s="192">
        <v>1</v>
      </c>
      <c r="M28" s="253">
        <f t="shared" si="2"/>
        <v>6</v>
      </c>
      <c r="N28" s="192">
        <v>5</v>
      </c>
      <c r="O28" s="253">
        <f t="shared" si="3"/>
        <v>1</v>
      </c>
      <c r="P28" s="192">
        <v>1</v>
      </c>
      <c r="Q28" s="192"/>
      <c r="R28" s="192"/>
      <c r="S28" s="253">
        <v>0</v>
      </c>
      <c r="T28" s="254">
        <v>0</v>
      </c>
    </row>
    <row r="29" spans="1:20" ht="18" customHeight="1">
      <c r="A29" s="189">
        <v>17</v>
      </c>
      <c r="B29" s="190" t="s">
        <v>190</v>
      </c>
      <c r="C29" s="205">
        <v>137704</v>
      </c>
      <c r="D29" s="205">
        <v>636</v>
      </c>
      <c r="E29" s="205">
        <v>493</v>
      </c>
      <c r="F29" s="192">
        <v>5290</v>
      </c>
      <c r="G29" s="192">
        <v>515</v>
      </c>
      <c r="H29" s="252">
        <f>I29+J29</f>
        <v>2091</v>
      </c>
      <c r="I29" s="192">
        <v>2079</v>
      </c>
      <c r="J29" s="192">
        <v>12</v>
      </c>
      <c r="K29" s="192">
        <v>0</v>
      </c>
      <c r="L29" s="192">
        <v>0</v>
      </c>
      <c r="M29" s="253">
        <f t="shared" si="2"/>
        <v>5</v>
      </c>
      <c r="N29" s="192">
        <v>5</v>
      </c>
      <c r="O29" s="253">
        <f t="shared" si="3"/>
        <v>0</v>
      </c>
      <c r="P29" s="192">
        <v>0</v>
      </c>
      <c r="Q29" s="192">
        <v>0</v>
      </c>
      <c r="R29" s="192">
        <v>0</v>
      </c>
      <c r="S29" s="253">
        <v>0</v>
      </c>
      <c r="T29" s="254">
        <v>0</v>
      </c>
    </row>
    <row r="30" spans="1:20" ht="18" customHeight="1">
      <c r="A30" s="189">
        <v>18</v>
      </c>
      <c r="B30" s="190" t="s">
        <v>191</v>
      </c>
      <c r="C30" s="205">
        <v>300462</v>
      </c>
      <c r="D30" s="205">
        <v>2081</v>
      </c>
      <c r="E30" s="205">
        <v>657</v>
      </c>
      <c r="F30" s="192">
        <v>21486</v>
      </c>
      <c r="G30" s="192">
        <v>1599</v>
      </c>
      <c r="H30" s="252">
        <f>I30+J30</f>
        <v>1976</v>
      </c>
      <c r="I30" s="192">
        <v>1975</v>
      </c>
      <c r="J30" s="192">
        <v>1</v>
      </c>
      <c r="K30" s="192">
        <v>0</v>
      </c>
      <c r="L30" s="192">
        <v>0</v>
      </c>
      <c r="M30" s="253">
        <f t="shared" si="2"/>
        <v>26</v>
      </c>
      <c r="N30" s="192">
        <v>26</v>
      </c>
      <c r="O30" s="253">
        <f t="shared" si="3"/>
        <v>0</v>
      </c>
      <c r="P30" s="192">
        <v>0</v>
      </c>
      <c r="Q30" s="192">
        <v>0</v>
      </c>
      <c r="R30" s="192">
        <v>0</v>
      </c>
      <c r="S30" s="253">
        <v>0</v>
      </c>
      <c r="T30" s="254">
        <v>0</v>
      </c>
    </row>
    <row r="31" spans="1:20" ht="18" customHeight="1">
      <c r="A31" s="189">
        <v>19</v>
      </c>
      <c r="B31" s="196" t="s">
        <v>211</v>
      </c>
      <c r="C31" s="182">
        <v>260350</v>
      </c>
      <c r="D31" s="182">
        <v>13594</v>
      </c>
      <c r="E31" s="182">
        <v>1654.132</v>
      </c>
      <c r="F31" s="182">
        <v>16299</v>
      </c>
      <c r="G31" s="182">
        <v>2955</v>
      </c>
      <c r="H31" s="252">
        <f>I31+J31</f>
        <v>8081</v>
      </c>
      <c r="I31" s="182">
        <v>7639</v>
      </c>
      <c r="J31" s="182">
        <v>442</v>
      </c>
      <c r="K31" s="182">
        <v>39</v>
      </c>
      <c r="L31" s="182">
        <v>38</v>
      </c>
      <c r="M31" s="253">
        <f>N31+O31</f>
        <v>11</v>
      </c>
      <c r="N31" s="192">
        <v>11</v>
      </c>
      <c r="O31" s="253">
        <f>P31+Q31+R31</f>
        <v>0</v>
      </c>
      <c r="P31" s="192">
        <v>0</v>
      </c>
      <c r="Q31" s="192">
        <v>0</v>
      </c>
      <c r="R31" s="192">
        <v>0</v>
      </c>
      <c r="S31" s="253">
        <v>0</v>
      </c>
      <c r="T31" s="255" t="s">
        <v>228</v>
      </c>
    </row>
    <row r="32" spans="1:20" ht="25.5">
      <c r="A32" s="189">
        <v>20</v>
      </c>
      <c r="B32" s="196" t="s">
        <v>212</v>
      </c>
      <c r="C32" s="182">
        <v>288483</v>
      </c>
      <c r="D32" s="182">
        <v>10345</v>
      </c>
      <c r="E32" s="182">
        <v>2042.108</v>
      </c>
      <c r="F32" s="212">
        <v>21214</v>
      </c>
      <c r="G32" s="212">
        <v>4593</v>
      </c>
      <c r="H32" s="252">
        <f aca="true" t="shared" si="4" ref="H32:H47">I32+J32</f>
        <v>7916</v>
      </c>
      <c r="I32" s="182">
        <v>7767</v>
      </c>
      <c r="J32" s="182">
        <v>149</v>
      </c>
      <c r="K32" s="182">
        <v>9</v>
      </c>
      <c r="L32" s="182">
        <v>9</v>
      </c>
      <c r="M32" s="253">
        <f aca="true" t="shared" si="5" ref="M32:M75">N32+O32</f>
        <v>40</v>
      </c>
      <c r="N32" s="192">
        <v>38</v>
      </c>
      <c r="O32" s="253">
        <f aca="true" t="shared" si="6" ref="O32:O47">P32+Q32+R32</f>
        <v>2</v>
      </c>
      <c r="P32" s="192">
        <v>2</v>
      </c>
      <c r="Q32" s="192">
        <v>0</v>
      </c>
      <c r="R32" s="192">
        <v>0</v>
      </c>
      <c r="S32" s="253">
        <v>0</v>
      </c>
      <c r="T32" s="254" t="s">
        <v>228</v>
      </c>
    </row>
    <row r="33" spans="1:20" ht="18" customHeight="1">
      <c r="A33" s="189">
        <v>21</v>
      </c>
      <c r="B33" s="196" t="s">
        <v>213</v>
      </c>
      <c r="C33" s="300">
        <f>62720+12643+6460+19386+20082+539+6038</f>
        <v>127868</v>
      </c>
      <c r="D33" s="301">
        <f>55+182+10+388+1369+728</f>
        <v>2732</v>
      </c>
      <c r="E33" s="205">
        <v>909</v>
      </c>
      <c r="F33" s="182">
        <f>1377+764+818+1638+2093+891+67+673+118+1035+1058+460+2008</f>
        <v>13000</v>
      </c>
      <c r="G33" s="182">
        <f>229+185+56+114+107+116+21+64+9+75+47+45+248</f>
        <v>1316</v>
      </c>
      <c r="H33" s="252">
        <f t="shared" si="4"/>
        <v>2657</v>
      </c>
      <c r="I33" s="182">
        <v>2638</v>
      </c>
      <c r="J33" s="182">
        <v>19</v>
      </c>
      <c r="K33" s="182">
        <v>3</v>
      </c>
      <c r="L33" s="182">
        <v>2</v>
      </c>
      <c r="M33" s="253">
        <f t="shared" si="5"/>
        <v>3</v>
      </c>
      <c r="N33" s="182">
        <v>3</v>
      </c>
      <c r="O33" s="253">
        <f t="shared" si="6"/>
        <v>0</v>
      </c>
      <c r="P33" s="182">
        <v>0</v>
      </c>
      <c r="Q33" s="182">
        <v>0</v>
      </c>
      <c r="R33" s="182">
        <v>0</v>
      </c>
      <c r="S33" s="253">
        <v>0</v>
      </c>
      <c r="T33" s="255">
        <v>0</v>
      </c>
    </row>
    <row r="34" spans="1:23" ht="18" customHeight="1">
      <c r="A34" s="189">
        <v>22</v>
      </c>
      <c r="B34" s="196" t="s">
        <v>214</v>
      </c>
      <c r="C34" s="388" t="s">
        <v>297</v>
      </c>
      <c r="D34" s="389"/>
      <c r="E34" s="389"/>
      <c r="F34" s="390"/>
      <c r="G34" s="182">
        <v>1027</v>
      </c>
      <c r="H34" s="252">
        <f t="shared" si="4"/>
        <v>2387</v>
      </c>
      <c r="I34" s="182">
        <v>2385</v>
      </c>
      <c r="J34" s="182">
        <v>2</v>
      </c>
      <c r="K34" s="182">
        <v>14</v>
      </c>
      <c r="L34" s="182">
        <v>14</v>
      </c>
      <c r="M34" s="253">
        <f>O34</f>
        <v>1</v>
      </c>
      <c r="N34" s="185" t="s">
        <v>290</v>
      </c>
      <c r="O34" s="253">
        <f t="shared" si="6"/>
        <v>1</v>
      </c>
      <c r="P34" s="182">
        <v>1</v>
      </c>
      <c r="Q34" s="182">
        <v>0</v>
      </c>
      <c r="R34" s="182">
        <v>0</v>
      </c>
      <c r="S34" s="253">
        <v>0</v>
      </c>
      <c r="T34" s="255">
        <v>0</v>
      </c>
      <c r="U34" s="22"/>
      <c r="V34" s="22"/>
      <c r="W34" s="22"/>
    </row>
    <row r="35" spans="1:20" ht="18" customHeight="1">
      <c r="A35" s="189">
        <v>23</v>
      </c>
      <c r="B35" s="196" t="s">
        <v>215</v>
      </c>
      <c r="C35" s="182">
        <v>238499</v>
      </c>
      <c r="D35" s="182">
        <v>1799</v>
      </c>
      <c r="E35" s="182">
        <v>575.833</v>
      </c>
      <c r="F35" s="182">
        <v>8178</v>
      </c>
      <c r="G35" s="182">
        <v>2407</v>
      </c>
      <c r="H35" s="252">
        <f t="shared" si="4"/>
        <v>5088</v>
      </c>
      <c r="I35" s="182">
        <v>5074</v>
      </c>
      <c r="J35" s="182">
        <v>14</v>
      </c>
      <c r="K35" s="182">
        <v>5</v>
      </c>
      <c r="L35" s="182">
        <v>4</v>
      </c>
      <c r="M35" s="253">
        <f t="shared" si="5"/>
        <v>4</v>
      </c>
      <c r="N35" s="182">
        <v>4</v>
      </c>
      <c r="O35" s="253">
        <f t="shared" si="6"/>
        <v>0</v>
      </c>
      <c r="P35" s="182">
        <v>0</v>
      </c>
      <c r="Q35" s="182">
        <v>0</v>
      </c>
      <c r="R35" s="182">
        <v>0</v>
      </c>
      <c r="S35" s="253">
        <v>0</v>
      </c>
      <c r="T35" s="254" t="s">
        <v>228</v>
      </c>
    </row>
    <row r="36" spans="1:20" ht="18" customHeight="1">
      <c r="A36" s="195">
        <v>24</v>
      </c>
      <c r="B36" s="200" t="s">
        <v>216</v>
      </c>
      <c r="C36" s="182">
        <v>2880433</v>
      </c>
      <c r="D36" s="182">
        <v>68593</v>
      </c>
      <c r="E36" s="182">
        <v>92549</v>
      </c>
      <c r="F36" s="182">
        <v>78106</v>
      </c>
      <c r="G36" s="182">
        <v>16312</v>
      </c>
      <c r="H36" s="252">
        <f t="shared" si="4"/>
        <v>41766</v>
      </c>
      <c r="I36" s="182">
        <v>41537</v>
      </c>
      <c r="J36" s="182">
        <v>229</v>
      </c>
      <c r="K36" s="182">
        <v>59</v>
      </c>
      <c r="L36" s="182">
        <v>50</v>
      </c>
      <c r="M36" s="253">
        <f t="shared" si="5"/>
        <v>33</v>
      </c>
      <c r="N36" s="182">
        <v>22</v>
      </c>
      <c r="O36" s="253">
        <f>P36+Q36</f>
        <v>11</v>
      </c>
      <c r="P36" s="182">
        <v>4</v>
      </c>
      <c r="Q36" s="182">
        <v>7</v>
      </c>
      <c r="R36" s="199" t="s">
        <v>290</v>
      </c>
      <c r="S36" s="253">
        <v>0</v>
      </c>
      <c r="T36" s="254" t="s">
        <v>228</v>
      </c>
    </row>
    <row r="37" spans="1:20" ht="18" customHeight="1">
      <c r="A37" s="189">
        <v>25</v>
      </c>
      <c r="B37" s="196" t="s">
        <v>217</v>
      </c>
      <c r="C37" s="182">
        <v>335954</v>
      </c>
      <c r="D37" s="182">
        <v>8783</v>
      </c>
      <c r="E37" s="182">
        <v>739.349</v>
      </c>
      <c r="F37" s="182">
        <v>16781</v>
      </c>
      <c r="G37" s="182">
        <v>5019</v>
      </c>
      <c r="H37" s="252">
        <f t="shared" si="4"/>
        <v>7783</v>
      </c>
      <c r="I37" s="182">
        <v>7762</v>
      </c>
      <c r="J37" s="182">
        <v>21</v>
      </c>
      <c r="K37" s="182">
        <v>9</v>
      </c>
      <c r="L37" s="182">
        <v>8</v>
      </c>
      <c r="M37" s="253">
        <f t="shared" si="5"/>
        <v>12</v>
      </c>
      <c r="N37" s="182">
        <v>12</v>
      </c>
      <c r="O37" s="256">
        <f t="shared" si="6"/>
        <v>0</v>
      </c>
      <c r="P37" s="182">
        <v>0</v>
      </c>
      <c r="Q37" s="182">
        <v>0</v>
      </c>
      <c r="R37" s="182">
        <v>0</v>
      </c>
      <c r="S37" s="253">
        <v>0</v>
      </c>
      <c r="T37" s="254" t="s">
        <v>228</v>
      </c>
    </row>
    <row r="38" spans="1:20" ht="25.5">
      <c r="A38" s="189">
        <v>26</v>
      </c>
      <c r="B38" s="196" t="s">
        <v>218</v>
      </c>
      <c r="C38" s="182">
        <v>356263</v>
      </c>
      <c r="D38" s="182">
        <v>8538</v>
      </c>
      <c r="E38" s="182">
        <v>1351.8</v>
      </c>
      <c r="F38" s="182">
        <v>17915</v>
      </c>
      <c r="G38" s="182">
        <v>5118</v>
      </c>
      <c r="H38" s="252">
        <f t="shared" si="4"/>
        <v>10135</v>
      </c>
      <c r="I38" s="182">
        <v>10032</v>
      </c>
      <c r="J38" s="182">
        <v>103</v>
      </c>
      <c r="K38" s="182">
        <v>124</v>
      </c>
      <c r="L38" s="182">
        <v>122</v>
      </c>
      <c r="M38" s="253">
        <f t="shared" si="5"/>
        <v>29</v>
      </c>
      <c r="N38" s="182">
        <v>26</v>
      </c>
      <c r="O38" s="253">
        <f t="shared" si="6"/>
        <v>3</v>
      </c>
      <c r="P38" s="182">
        <v>1</v>
      </c>
      <c r="Q38" s="182">
        <v>2</v>
      </c>
      <c r="R38" s="182">
        <v>0</v>
      </c>
      <c r="S38" s="253">
        <v>0</v>
      </c>
      <c r="T38" s="257">
        <v>0</v>
      </c>
    </row>
    <row r="39" spans="1:20" ht="18" customHeight="1">
      <c r="A39" s="189">
        <v>27</v>
      </c>
      <c r="B39" s="196" t="s">
        <v>219</v>
      </c>
      <c r="C39" s="182">
        <v>968340</v>
      </c>
      <c r="D39" s="182">
        <v>15980</v>
      </c>
      <c r="E39" s="182">
        <v>3035</v>
      </c>
      <c r="F39" s="182">
        <v>20816</v>
      </c>
      <c r="G39" s="182">
        <v>5821</v>
      </c>
      <c r="H39" s="252">
        <f t="shared" si="4"/>
        <v>12037</v>
      </c>
      <c r="I39" s="182">
        <v>11856</v>
      </c>
      <c r="J39" s="182">
        <v>181</v>
      </c>
      <c r="K39" s="182">
        <v>238</v>
      </c>
      <c r="L39" s="182">
        <v>235</v>
      </c>
      <c r="M39" s="253">
        <f t="shared" si="5"/>
        <v>23</v>
      </c>
      <c r="N39" s="182">
        <v>22</v>
      </c>
      <c r="O39" s="253">
        <v>1</v>
      </c>
      <c r="P39" s="199" t="s">
        <v>290</v>
      </c>
      <c r="Q39" s="199" t="s">
        <v>290</v>
      </c>
      <c r="R39" s="199" t="s">
        <v>290</v>
      </c>
      <c r="S39" s="253">
        <v>0</v>
      </c>
      <c r="T39" s="254" t="s">
        <v>228</v>
      </c>
    </row>
    <row r="40" spans="1:20" ht="18" customHeight="1">
      <c r="A40" s="189">
        <v>28</v>
      </c>
      <c r="B40" s="196" t="s">
        <v>220</v>
      </c>
      <c r="C40" s="182">
        <v>100171</v>
      </c>
      <c r="D40" s="182">
        <v>6877</v>
      </c>
      <c r="E40" s="182">
        <v>142.0325</v>
      </c>
      <c r="F40" s="182">
        <v>9674</v>
      </c>
      <c r="G40" s="182">
        <v>2892</v>
      </c>
      <c r="H40" s="252">
        <f t="shared" si="4"/>
        <v>3854</v>
      </c>
      <c r="I40" s="182">
        <v>3724</v>
      </c>
      <c r="J40" s="182">
        <v>130</v>
      </c>
      <c r="K40" s="182">
        <v>418</v>
      </c>
      <c r="L40" s="182">
        <v>418</v>
      </c>
      <c r="M40" s="253">
        <f t="shared" si="5"/>
        <v>6</v>
      </c>
      <c r="N40" s="182">
        <v>6</v>
      </c>
      <c r="O40" s="253">
        <f t="shared" si="6"/>
        <v>0</v>
      </c>
      <c r="P40" s="182">
        <v>0</v>
      </c>
      <c r="Q40" s="182">
        <v>0</v>
      </c>
      <c r="R40" s="182">
        <v>0</v>
      </c>
      <c r="S40" s="253">
        <v>0</v>
      </c>
      <c r="T40" s="254" t="s">
        <v>228</v>
      </c>
    </row>
    <row r="41" spans="1:20" ht="18" customHeight="1">
      <c r="A41" s="189">
        <v>29</v>
      </c>
      <c r="B41" s="196" t="s">
        <v>221</v>
      </c>
      <c r="C41" s="205">
        <v>180726</v>
      </c>
      <c r="D41" s="205">
        <v>1095</v>
      </c>
      <c r="E41" s="205">
        <v>653.911</v>
      </c>
      <c r="F41" s="205">
        <v>8849</v>
      </c>
      <c r="G41" s="205">
        <v>2133</v>
      </c>
      <c r="H41" s="252">
        <f t="shared" si="4"/>
        <v>5196</v>
      </c>
      <c r="I41" s="182">
        <v>5186</v>
      </c>
      <c r="J41" s="182">
        <v>10</v>
      </c>
      <c r="K41" s="182">
        <v>10</v>
      </c>
      <c r="L41" s="182">
        <v>10</v>
      </c>
      <c r="M41" s="253">
        <f t="shared" si="5"/>
        <v>19</v>
      </c>
      <c r="N41" s="182">
        <v>19</v>
      </c>
      <c r="O41" s="253">
        <f t="shared" si="6"/>
        <v>0</v>
      </c>
      <c r="P41" s="192">
        <v>0</v>
      </c>
      <c r="Q41" s="192">
        <v>0</v>
      </c>
      <c r="R41" s="192">
        <v>0</v>
      </c>
      <c r="S41" s="253">
        <v>0</v>
      </c>
      <c r="T41" s="255" t="s">
        <v>228</v>
      </c>
    </row>
    <row r="42" spans="1:20" ht="18" customHeight="1">
      <c r="A42" s="189">
        <v>30</v>
      </c>
      <c r="B42" s="196" t="s">
        <v>222</v>
      </c>
      <c r="C42" s="182">
        <v>291160</v>
      </c>
      <c r="D42" s="182">
        <v>2727</v>
      </c>
      <c r="E42" s="182">
        <v>791.325</v>
      </c>
      <c r="F42" s="182">
        <v>13115</v>
      </c>
      <c r="G42" s="182">
        <v>3463</v>
      </c>
      <c r="H42" s="252">
        <f t="shared" si="4"/>
        <v>8031</v>
      </c>
      <c r="I42" s="182">
        <v>8008</v>
      </c>
      <c r="J42" s="182">
        <v>23</v>
      </c>
      <c r="K42" s="182">
        <v>12</v>
      </c>
      <c r="L42" s="182">
        <v>11</v>
      </c>
      <c r="M42" s="253">
        <f t="shared" si="5"/>
        <v>11</v>
      </c>
      <c r="N42" s="182">
        <v>11</v>
      </c>
      <c r="O42" s="253">
        <f t="shared" si="6"/>
        <v>0</v>
      </c>
      <c r="P42" s="192">
        <v>0</v>
      </c>
      <c r="Q42" s="192">
        <v>0</v>
      </c>
      <c r="R42" s="192">
        <v>0</v>
      </c>
      <c r="S42" s="253">
        <v>0</v>
      </c>
      <c r="T42" s="254" t="s">
        <v>228</v>
      </c>
    </row>
    <row r="43" spans="1:20" ht="25.5">
      <c r="A43" s="189">
        <v>31</v>
      </c>
      <c r="B43" s="196" t="s">
        <v>223</v>
      </c>
      <c r="C43" s="182">
        <v>362020</v>
      </c>
      <c r="D43" s="182">
        <v>15857</v>
      </c>
      <c r="E43" s="182">
        <v>2401</v>
      </c>
      <c r="F43" s="182">
        <v>11537</v>
      </c>
      <c r="G43" s="182">
        <v>3535</v>
      </c>
      <c r="H43" s="252">
        <f t="shared" si="4"/>
        <v>5036</v>
      </c>
      <c r="I43" s="182">
        <v>4806</v>
      </c>
      <c r="J43" s="182">
        <v>230</v>
      </c>
      <c r="K43" s="182">
        <v>10</v>
      </c>
      <c r="L43" s="182">
        <v>10</v>
      </c>
      <c r="M43" s="253">
        <f t="shared" si="5"/>
        <v>9</v>
      </c>
      <c r="N43" s="182">
        <v>9</v>
      </c>
      <c r="O43" s="253">
        <f t="shared" si="6"/>
        <v>0</v>
      </c>
      <c r="P43" s="192">
        <v>0</v>
      </c>
      <c r="Q43" s="192">
        <v>0</v>
      </c>
      <c r="R43" s="192">
        <v>0</v>
      </c>
      <c r="S43" s="253">
        <v>0</v>
      </c>
      <c r="T43" s="254" t="s">
        <v>228</v>
      </c>
    </row>
    <row r="44" spans="1:20" ht="25.5">
      <c r="A44" s="189">
        <v>32</v>
      </c>
      <c r="B44" s="196" t="s">
        <v>224</v>
      </c>
      <c r="C44" s="205">
        <v>232052</v>
      </c>
      <c r="D44" s="205">
        <v>79003</v>
      </c>
      <c r="E44" s="205">
        <v>1016.272</v>
      </c>
      <c r="F44" s="182">
        <v>24581</v>
      </c>
      <c r="G44" s="182">
        <v>4976</v>
      </c>
      <c r="H44" s="252">
        <f t="shared" si="4"/>
        <v>8176</v>
      </c>
      <c r="I44" s="182">
        <v>8023</v>
      </c>
      <c r="J44" s="182">
        <v>153</v>
      </c>
      <c r="K44" s="182">
        <v>287</v>
      </c>
      <c r="L44" s="182">
        <v>287</v>
      </c>
      <c r="M44" s="253">
        <f t="shared" si="5"/>
        <v>17</v>
      </c>
      <c r="N44" s="182">
        <v>17</v>
      </c>
      <c r="O44" s="253">
        <f t="shared" si="6"/>
        <v>0</v>
      </c>
      <c r="P44" s="192">
        <v>0</v>
      </c>
      <c r="Q44" s="192">
        <v>0</v>
      </c>
      <c r="R44" s="192">
        <v>0</v>
      </c>
      <c r="S44" s="253">
        <v>0</v>
      </c>
      <c r="T44" s="255" t="s">
        <v>228</v>
      </c>
    </row>
    <row r="45" spans="1:20" ht="18" customHeight="1">
      <c r="A45" s="189">
        <v>33</v>
      </c>
      <c r="B45" s="196" t="s">
        <v>225</v>
      </c>
      <c r="C45" s="205">
        <v>117513</v>
      </c>
      <c r="D45" s="205">
        <v>11987</v>
      </c>
      <c r="E45" s="205">
        <v>770.3</v>
      </c>
      <c r="F45" s="182">
        <v>6314</v>
      </c>
      <c r="G45" s="182">
        <v>1600</v>
      </c>
      <c r="H45" s="252">
        <f t="shared" si="4"/>
        <v>1889</v>
      </c>
      <c r="I45" s="182">
        <v>1888</v>
      </c>
      <c r="J45" s="182">
        <v>1</v>
      </c>
      <c r="K45" s="199" t="s">
        <v>290</v>
      </c>
      <c r="L45" s="199" t="s">
        <v>290</v>
      </c>
      <c r="M45" s="253">
        <f t="shared" si="5"/>
        <v>0</v>
      </c>
      <c r="N45" s="182">
        <v>0</v>
      </c>
      <c r="O45" s="253">
        <f t="shared" si="6"/>
        <v>0</v>
      </c>
      <c r="P45" s="192">
        <v>0</v>
      </c>
      <c r="Q45" s="192">
        <v>0</v>
      </c>
      <c r="R45" s="192">
        <v>0</v>
      </c>
      <c r="S45" s="253">
        <v>0</v>
      </c>
      <c r="T45" s="254"/>
    </row>
    <row r="46" spans="1:20" ht="18" customHeight="1">
      <c r="A46" s="189">
        <v>34</v>
      </c>
      <c r="B46" s="196" t="s">
        <v>226</v>
      </c>
      <c r="C46" s="205">
        <v>106145</v>
      </c>
      <c r="D46" s="205">
        <v>611</v>
      </c>
      <c r="E46" s="205">
        <v>266.441</v>
      </c>
      <c r="F46" s="182">
        <v>5594</v>
      </c>
      <c r="G46" s="182">
        <v>344</v>
      </c>
      <c r="H46" s="252">
        <f t="shared" si="4"/>
        <v>1119</v>
      </c>
      <c r="I46" s="182">
        <v>1118</v>
      </c>
      <c r="J46" s="182">
        <v>1</v>
      </c>
      <c r="K46" s="182">
        <v>10</v>
      </c>
      <c r="L46" s="182">
        <v>10</v>
      </c>
      <c r="M46" s="253">
        <f t="shared" si="5"/>
        <v>4</v>
      </c>
      <c r="N46" s="182">
        <v>4</v>
      </c>
      <c r="O46" s="253">
        <f t="shared" si="6"/>
        <v>0</v>
      </c>
      <c r="P46" s="192">
        <v>0</v>
      </c>
      <c r="Q46" s="192">
        <v>0</v>
      </c>
      <c r="R46" s="192">
        <v>0</v>
      </c>
      <c r="S46" s="253">
        <v>0</v>
      </c>
      <c r="T46" s="254" t="s">
        <v>228</v>
      </c>
    </row>
    <row r="47" spans="1:20" ht="18" customHeight="1">
      <c r="A47" s="189">
        <v>35</v>
      </c>
      <c r="B47" s="196" t="s">
        <v>227</v>
      </c>
      <c r="C47" s="182">
        <v>286401</v>
      </c>
      <c r="D47" s="182">
        <v>6430</v>
      </c>
      <c r="E47" s="182">
        <v>1891.527918</v>
      </c>
      <c r="F47" s="182">
        <v>14086</v>
      </c>
      <c r="G47" s="182">
        <v>2369</v>
      </c>
      <c r="H47" s="252">
        <f t="shared" si="4"/>
        <v>6479</v>
      </c>
      <c r="I47" s="182">
        <v>6382</v>
      </c>
      <c r="J47" s="182">
        <v>97</v>
      </c>
      <c r="K47" s="182">
        <v>444</v>
      </c>
      <c r="L47" s="182">
        <v>444</v>
      </c>
      <c r="M47" s="253">
        <f t="shared" si="5"/>
        <v>23</v>
      </c>
      <c r="N47" s="182">
        <v>23</v>
      </c>
      <c r="O47" s="253">
        <f t="shared" si="6"/>
        <v>0</v>
      </c>
      <c r="P47" s="192">
        <v>0</v>
      </c>
      <c r="Q47" s="192">
        <v>0</v>
      </c>
      <c r="R47" s="192">
        <v>0</v>
      </c>
      <c r="S47" s="253">
        <v>0</v>
      </c>
      <c r="T47" s="254"/>
    </row>
    <row r="48" spans="1:20" ht="18" customHeight="1">
      <c r="A48" s="189">
        <v>36</v>
      </c>
      <c r="B48" s="201" t="s">
        <v>229</v>
      </c>
      <c r="C48" s="205">
        <v>125629</v>
      </c>
      <c r="D48" s="205">
        <v>226</v>
      </c>
      <c r="E48" s="205">
        <v>444</v>
      </c>
      <c r="F48" s="182">
        <v>7490</v>
      </c>
      <c r="G48" s="182">
        <v>1730</v>
      </c>
      <c r="H48" s="252">
        <f>I48+J48</f>
        <v>4531</v>
      </c>
      <c r="I48" s="192">
        <v>4521</v>
      </c>
      <c r="J48" s="192">
        <v>10</v>
      </c>
      <c r="K48" s="192">
        <v>4</v>
      </c>
      <c r="L48" s="192">
        <v>4</v>
      </c>
      <c r="M48" s="253">
        <f t="shared" si="5"/>
        <v>19</v>
      </c>
      <c r="N48" s="192">
        <v>8</v>
      </c>
      <c r="O48" s="253">
        <f>P48+Q48+R48</f>
        <v>11</v>
      </c>
      <c r="P48" s="204">
        <v>11</v>
      </c>
      <c r="Q48" s="204">
        <v>0</v>
      </c>
      <c r="R48" s="204">
        <v>0</v>
      </c>
      <c r="S48" s="252">
        <v>0</v>
      </c>
      <c r="T48" s="203">
        <v>0</v>
      </c>
    </row>
    <row r="49" spans="1:20" ht="18" customHeight="1">
      <c r="A49" s="189">
        <v>37</v>
      </c>
      <c r="B49" s="201" t="s">
        <v>230</v>
      </c>
      <c r="C49" s="205">
        <v>131970</v>
      </c>
      <c r="D49" s="205">
        <v>1088</v>
      </c>
      <c r="E49" s="205">
        <v>678</v>
      </c>
      <c r="F49" s="182">
        <v>1170</v>
      </c>
      <c r="G49" s="182">
        <v>120</v>
      </c>
      <c r="H49" s="252">
        <f aca="true" t="shared" si="7" ref="H49:H75">I49+J49</f>
        <v>511</v>
      </c>
      <c r="I49" s="192">
        <v>489</v>
      </c>
      <c r="J49" s="192">
        <v>22</v>
      </c>
      <c r="K49" s="192">
        <v>1</v>
      </c>
      <c r="L49" s="192">
        <v>1</v>
      </c>
      <c r="M49" s="253">
        <f t="shared" si="5"/>
        <v>1</v>
      </c>
      <c r="N49" s="192">
        <v>1</v>
      </c>
      <c r="O49" s="253">
        <f aca="true" t="shared" si="8" ref="O49:O75">P49+Q49+R49</f>
        <v>0</v>
      </c>
      <c r="P49" s="204">
        <v>0</v>
      </c>
      <c r="Q49" s="204">
        <v>0</v>
      </c>
      <c r="R49" s="204">
        <v>0</v>
      </c>
      <c r="S49" s="252">
        <v>0</v>
      </c>
      <c r="T49" s="203">
        <v>0</v>
      </c>
    </row>
    <row r="50" spans="1:20" ht="18" customHeight="1">
      <c r="A50" s="189">
        <v>38</v>
      </c>
      <c r="B50" s="201" t="s">
        <v>231</v>
      </c>
      <c r="C50" s="205">
        <v>345435</v>
      </c>
      <c r="D50" s="205">
        <v>1002677</v>
      </c>
      <c r="E50" s="205">
        <v>1737</v>
      </c>
      <c r="F50" s="182">
        <v>13250</v>
      </c>
      <c r="G50" s="182">
        <v>3652</v>
      </c>
      <c r="H50" s="252">
        <f t="shared" si="7"/>
        <v>9743</v>
      </c>
      <c r="I50" s="192">
        <v>9658</v>
      </c>
      <c r="J50" s="192">
        <v>85</v>
      </c>
      <c r="K50" s="192">
        <v>17</v>
      </c>
      <c r="L50" s="192">
        <v>14</v>
      </c>
      <c r="M50" s="253">
        <f t="shared" si="5"/>
        <v>9</v>
      </c>
      <c r="N50" s="192">
        <v>9</v>
      </c>
      <c r="O50" s="253">
        <f t="shared" si="8"/>
        <v>0</v>
      </c>
      <c r="P50" s="204">
        <v>0</v>
      </c>
      <c r="Q50" s="204">
        <v>0</v>
      </c>
      <c r="R50" s="204">
        <v>0</v>
      </c>
      <c r="S50" s="252">
        <v>0</v>
      </c>
      <c r="T50" s="203">
        <v>0</v>
      </c>
    </row>
    <row r="51" spans="1:20" ht="18" customHeight="1">
      <c r="A51" s="189">
        <v>39</v>
      </c>
      <c r="B51" s="201" t="s">
        <v>232</v>
      </c>
      <c r="C51" s="205">
        <v>437456</v>
      </c>
      <c r="D51" s="205">
        <v>36525</v>
      </c>
      <c r="E51" s="205">
        <v>1675</v>
      </c>
      <c r="F51" s="204">
        <v>43334</v>
      </c>
      <c r="G51" s="206">
        <v>12218</v>
      </c>
      <c r="H51" s="252">
        <f>I51+J51</f>
        <v>9936</v>
      </c>
      <c r="I51" s="192">
        <v>9912</v>
      </c>
      <c r="J51" s="192">
        <v>24</v>
      </c>
      <c r="K51" s="192">
        <v>9</v>
      </c>
      <c r="L51" s="192">
        <v>7</v>
      </c>
      <c r="M51" s="253">
        <f t="shared" si="5"/>
        <v>29</v>
      </c>
      <c r="N51" s="192">
        <v>29</v>
      </c>
      <c r="O51" s="253">
        <f t="shared" si="8"/>
        <v>0</v>
      </c>
      <c r="P51" s="204">
        <v>0</v>
      </c>
      <c r="Q51" s="204">
        <v>0</v>
      </c>
      <c r="R51" s="204">
        <v>0</v>
      </c>
      <c r="S51" s="252">
        <v>0</v>
      </c>
      <c r="T51" s="203">
        <v>0</v>
      </c>
    </row>
    <row r="52" spans="1:20" ht="18" customHeight="1">
      <c r="A52" s="189">
        <v>40</v>
      </c>
      <c r="B52" s="201" t="s">
        <v>233</v>
      </c>
      <c r="C52" s="205">
        <v>4532248</v>
      </c>
      <c r="D52" s="205">
        <v>25049</v>
      </c>
      <c r="E52" s="205">
        <v>1895</v>
      </c>
      <c r="F52" s="204">
        <v>36880</v>
      </c>
      <c r="G52" s="206">
        <v>9527</v>
      </c>
      <c r="H52" s="252">
        <f t="shared" si="7"/>
        <v>20162</v>
      </c>
      <c r="I52" s="192">
        <v>20108</v>
      </c>
      <c r="J52" s="192">
        <v>54</v>
      </c>
      <c r="K52" s="192">
        <v>31</v>
      </c>
      <c r="L52" s="192">
        <v>24</v>
      </c>
      <c r="M52" s="253">
        <f t="shared" si="5"/>
        <v>78</v>
      </c>
      <c r="N52" s="192">
        <v>75</v>
      </c>
      <c r="O52" s="253">
        <f>P52+Q52+R52</f>
        <v>3</v>
      </c>
      <c r="P52" s="204">
        <v>2</v>
      </c>
      <c r="Q52" s="204">
        <v>1</v>
      </c>
      <c r="R52" s="204"/>
      <c r="S52" s="252">
        <v>0</v>
      </c>
      <c r="T52" s="204">
        <v>4</v>
      </c>
    </row>
    <row r="53" spans="1:20" ht="18" customHeight="1">
      <c r="A53" s="189">
        <v>41</v>
      </c>
      <c r="B53" s="201" t="s">
        <v>234</v>
      </c>
      <c r="C53" s="205">
        <v>234131</v>
      </c>
      <c r="D53" s="205">
        <v>7296</v>
      </c>
      <c r="E53" s="205">
        <v>929</v>
      </c>
      <c r="F53" s="204">
        <v>10326</v>
      </c>
      <c r="G53" s="206">
        <v>2869</v>
      </c>
      <c r="H53" s="252">
        <f>I53+J53</f>
        <v>6474</v>
      </c>
      <c r="I53" s="192">
        <v>6454</v>
      </c>
      <c r="J53" s="192">
        <v>20</v>
      </c>
      <c r="K53" s="192">
        <v>6</v>
      </c>
      <c r="L53" s="192">
        <v>6</v>
      </c>
      <c r="M53" s="253">
        <f t="shared" si="5"/>
        <v>7</v>
      </c>
      <c r="N53" s="192">
        <v>7</v>
      </c>
      <c r="O53" s="253">
        <f t="shared" si="8"/>
        <v>0</v>
      </c>
      <c r="P53" s="204">
        <v>0</v>
      </c>
      <c r="Q53" s="204">
        <v>0</v>
      </c>
      <c r="R53" s="204">
        <v>0</v>
      </c>
      <c r="S53" s="252">
        <v>0</v>
      </c>
      <c r="T53" s="203">
        <v>0</v>
      </c>
    </row>
    <row r="54" spans="1:20" ht="27.75" customHeight="1">
      <c r="A54" s="189">
        <v>42</v>
      </c>
      <c r="B54" s="258" t="s">
        <v>235</v>
      </c>
      <c r="C54" s="205">
        <v>71617</v>
      </c>
      <c r="D54" s="205">
        <v>2183</v>
      </c>
      <c r="E54" s="205">
        <v>659</v>
      </c>
      <c r="F54" s="204">
        <v>2880</v>
      </c>
      <c r="G54" s="206">
        <v>670</v>
      </c>
      <c r="H54" s="252">
        <f t="shared" si="7"/>
        <v>1152</v>
      </c>
      <c r="I54" s="192">
        <v>1120</v>
      </c>
      <c r="J54" s="192">
        <v>32</v>
      </c>
      <c r="K54" s="192">
        <v>2</v>
      </c>
      <c r="L54" s="192">
        <v>2</v>
      </c>
      <c r="M54" s="253">
        <f t="shared" si="5"/>
        <v>2</v>
      </c>
      <c r="N54" s="192">
        <v>2</v>
      </c>
      <c r="O54" s="253">
        <f t="shared" si="8"/>
        <v>0</v>
      </c>
      <c r="P54" s="204">
        <v>0</v>
      </c>
      <c r="Q54" s="204">
        <v>0</v>
      </c>
      <c r="R54" s="204">
        <v>0</v>
      </c>
      <c r="S54" s="252">
        <v>0</v>
      </c>
      <c r="T54" s="203">
        <v>0</v>
      </c>
    </row>
    <row r="55" spans="1:20" ht="18" customHeight="1">
      <c r="A55" s="189">
        <v>43</v>
      </c>
      <c r="B55" s="201" t="s">
        <v>236</v>
      </c>
      <c r="C55" s="205">
        <v>187478</v>
      </c>
      <c r="D55" s="205">
        <v>8496</v>
      </c>
      <c r="E55" s="205">
        <v>646</v>
      </c>
      <c r="F55" s="204">
        <v>15074</v>
      </c>
      <c r="G55" s="206">
        <v>3780</v>
      </c>
      <c r="H55" s="252">
        <f>I55+J55</f>
        <v>8676</v>
      </c>
      <c r="I55" s="192">
        <v>8635</v>
      </c>
      <c r="J55" s="192">
        <v>41</v>
      </c>
      <c r="K55" s="192">
        <v>46</v>
      </c>
      <c r="L55" s="192">
        <v>45</v>
      </c>
      <c r="M55" s="253">
        <f t="shared" si="5"/>
        <v>20</v>
      </c>
      <c r="N55" s="192">
        <v>17</v>
      </c>
      <c r="O55" s="253">
        <f>P55+Q55+R55</f>
        <v>3</v>
      </c>
      <c r="P55" s="204">
        <v>2</v>
      </c>
      <c r="Q55" s="204">
        <v>1</v>
      </c>
      <c r="R55" s="204">
        <v>0</v>
      </c>
      <c r="S55" s="252">
        <v>0</v>
      </c>
      <c r="T55" s="203">
        <v>6</v>
      </c>
    </row>
    <row r="56" spans="1:20" ht="18" customHeight="1">
      <c r="A56" s="189">
        <v>44</v>
      </c>
      <c r="B56" s="201" t="s">
        <v>237</v>
      </c>
      <c r="C56" s="205">
        <v>95021</v>
      </c>
      <c r="D56" s="205">
        <v>283</v>
      </c>
      <c r="E56" s="205">
        <v>186</v>
      </c>
      <c r="F56" s="204">
        <v>5822</v>
      </c>
      <c r="G56" s="206">
        <v>604</v>
      </c>
      <c r="H56" s="252">
        <f t="shared" si="7"/>
        <v>2543</v>
      </c>
      <c r="I56" s="192">
        <v>2488</v>
      </c>
      <c r="J56" s="192">
        <v>55</v>
      </c>
      <c r="K56" s="192">
        <v>2</v>
      </c>
      <c r="L56" s="192">
        <v>2</v>
      </c>
      <c r="M56" s="253">
        <f t="shared" si="5"/>
        <v>3</v>
      </c>
      <c r="N56" s="192">
        <v>3</v>
      </c>
      <c r="O56" s="253">
        <f t="shared" si="8"/>
        <v>0</v>
      </c>
      <c r="P56" s="204"/>
      <c r="Q56" s="204"/>
      <c r="R56" s="204"/>
      <c r="S56" s="252">
        <v>0</v>
      </c>
      <c r="T56" s="203">
        <v>0</v>
      </c>
    </row>
    <row r="57" spans="1:20" s="117" customFormat="1" ht="27.75" customHeight="1">
      <c r="A57" s="189">
        <v>45</v>
      </c>
      <c r="B57" s="259" t="s">
        <v>243</v>
      </c>
      <c r="C57" s="205">
        <v>295505</v>
      </c>
      <c r="D57" s="205">
        <v>5190</v>
      </c>
      <c r="E57" s="205">
        <v>1459.172</v>
      </c>
      <c r="F57" s="182">
        <v>9461</v>
      </c>
      <c r="G57" s="182">
        <v>2902</v>
      </c>
      <c r="H57" s="252">
        <f t="shared" si="7"/>
        <v>4688</v>
      </c>
      <c r="I57" s="192">
        <v>4669</v>
      </c>
      <c r="J57" s="192">
        <v>19</v>
      </c>
      <c r="K57" s="192">
        <v>6</v>
      </c>
      <c r="L57" s="192">
        <v>0</v>
      </c>
      <c r="M57" s="253">
        <f t="shared" si="5"/>
        <v>8</v>
      </c>
      <c r="N57" s="192">
        <v>7</v>
      </c>
      <c r="O57" s="253">
        <f t="shared" si="8"/>
        <v>1</v>
      </c>
      <c r="P57" s="192">
        <v>0</v>
      </c>
      <c r="Q57" s="192">
        <v>1</v>
      </c>
      <c r="R57" s="192">
        <v>0</v>
      </c>
      <c r="S57" s="253">
        <v>0</v>
      </c>
      <c r="T57" s="254">
        <v>0</v>
      </c>
    </row>
    <row r="58" spans="1:20" s="117" customFormat="1" ht="25.5">
      <c r="A58" s="189">
        <v>46</v>
      </c>
      <c r="B58" s="260" t="s">
        <v>244</v>
      </c>
      <c r="C58" s="205">
        <v>423649</v>
      </c>
      <c r="D58" s="205">
        <v>5474</v>
      </c>
      <c r="E58" s="205">
        <v>1301.998</v>
      </c>
      <c r="F58" s="182">
        <v>14887</v>
      </c>
      <c r="G58" s="182">
        <v>3888</v>
      </c>
      <c r="H58" s="252">
        <f t="shared" si="7"/>
        <v>6198</v>
      </c>
      <c r="I58" s="192">
        <v>6162</v>
      </c>
      <c r="J58" s="192">
        <v>36</v>
      </c>
      <c r="K58" s="192">
        <v>1</v>
      </c>
      <c r="L58" s="192">
        <v>1</v>
      </c>
      <c r="M58" s="253">
        <f t="shared" si="5"/>
        <v>4</v>
      </c>
      <c r="N58" s="192">
        <v>4</v>
      </c>
      <c r="O58" s="253">
        <f t="shared" si="8"/>
        <v>0</v>
      </c>
      <c r="P58" s="192">
        <v>0</v>
      </c>
      <c r="Q58" s="192">
        <v>0</v>
      </c>
      <c r="R58" s="192">
        <v>0</v>
      </c>
      <c r="S58" s="253">
        <v>0</v>
      </c>
      <c r="T58" s="255">
        <v>0</v>
      </c>
    </row>
    <row r="59" spans="1:20" s="117" customFormat="1" ht="25.5">
      <c r="A59" s="189">
        <v>47</v>
      </c>
      <c r="B59" s="260" t="s">
        <v>245</v>
      </c>
      <c r="C59" s="205">
        <v>222597</v>
      </c>
      <c r="D59" s="205">
        <v>183290</v>
      </c>
      <c r="E59" s="205">
        <v>4955.49263</v>
      </c>
      <c r="F59" s="182">
        <v>10397</v>
      </c>
      <c r="G59" s="182">
        <v>3953</v>
      </c>
      <c r="H59" s="252">
        <f t="shared" si="7"/>
        <v>4774</v>
      </c>
      <c r="I59" s="192">
        <v>4742</v>
      </c>
      <c r="J59" s="192">
        <v>32</v>
      </c>
      <c r="K59" s="192">
        <v>2</v>
      </c>
      <c r="L59" s="192">
        <v>2</v>
      </c>
      <c r="M59" s="253">
        <f t="shared" si="5"/>
        <v>8</v>
      </c>
      <c r="N59" s="192">
        <v>8</v>
      </c>
      <c r="O59" s="253">
        <f t="shared" si="8"/>
        <v>0</v>
      </c>
      <c r="P59" s="192">
        <v>0</v>
      </c>
      <c r="Q59" s="192">
        <v>0</v>
      </c>
      <c r="R59" s="192">
        <v>0</v>
      </c>
      <c r="S59" s="253">
        <v>0</v>
      </c>
      <c r="T59" s="254">
        <v>0</v>
      </c>
    </row>
    <row r="60" spans="1:20" s="117" customFormat="1" ht="25.5">
      <c r="A60" s="189">
        <v>48</v>
      </c>
      <c r="B60" s="260" t="s">
        <v>246</v>
      </c>
      <c r="C60" s="205">
        <v>328210</v>
      </c>
      <c r="D60" s="205">
        <v>13751</v>
      </c>
      <c r="E60" s="205">
        <v>2495</v>
      </c>
      <c r="F60" s="182">
        <v>13486</v>
      </c>
      <c r="G60" s="182">
        <v>2760</v>
      </c>
      <c r="H60" s="252">
        <f t="shared" si="7"/>
        <v>6711</v>
      </c>
      <c r="I60" s="192">
        <v>6613</v>
      </c>
      <c r="J60" s="192">
        <v>98</v>
      </c>
      <c r="K60" s="192">
        <v>395</v>
      </c>
      <c r="L60" s="192">
        <v>395</v>
      </c>
      <c r="M60" s="253">
        <f t="shared" si="5"/>
        <v>24</v>
      </c>
      <c r="N60" s="192">
        <v>24</v>
      </c>
      <c r="O60" s="253">
        <v>0</v>
      </c>
      <c r="P60" s="192">
        <v>0</v>
      </c>
      <c r="Q60" s="192">
        <v>0</v>
      </c>
      <c r="R60" s="192">
        <v>0</v>
      </c>
      <c r="S60" s="253">
        <v>0</v>
      </c>
      <c r="T60" s="254">
        <v>0</v>
      </c>
    </row>
    <row r="61" spans="1:20" s="117" customFormat="1" ht="25.5">
      <c r="A61" s="189">
        <v>49</v>
      </c>
      <c r="B61" s="260" t="s">
        <v>247</v>
      </c>
      <c r="C61" s="205">
        <v>199166</v>
      </c>
      <c r="D61" s="205">
        <v>4953</v>
      </c>
      <c r="E61" s="205">
        <v>452.988</v>
      </c>
      <c r="F61" s="182">
        <v>7330</v>
      </c>
      <c r="G61" s="182">
        <v>1525</v>
      </c>
      <c r="H61" s="252">
        <f t="shared" si="7"/>
        <v>2732</v>
      </c>
      <c r="I61" s="192">
        <v>2714</v>
      </c>
      <c r="J61" s="192">
        <v>18</v>
      </c>
      <c r="K61" s="192">
        <v>0</v>
      </c>
      <c r="L61" s="192">
        <v>0</v>
      </c>
      <c r="M61" s="253">
        <f t="shared" si="5"/>
        <v>2</v>
      </c>
      <c r="N61" s="192">
        <v>2</v>
      </c>
      <c r="O61" s="253">
        <f t="shared" si="8"/>
        <v>0</v>
      </c>
      <c r="P61" s="192">
        <v>0</v>
      </c>
      <c r="Q61" s="192">
        <v>0</v>
      </c>
      <c r="R61" s="192">
        <v>0</v>
      </c>
      <c r="S61" s="253">
        <v>0</v>
      </c>
      <c r="T61" s="254">
        <v>0</v>
      </c>
    </row>
    <row r="62" spans="1:20" s="117" customFormat="1" ht="25.5">
      <c r="A62" s="189">
        <v>50</v>
      </c>
      <c r="B62" s="260" t="s">
        <v>248</v>
      </c>
      <c r="C62" s="205">
        <v>128932</v>
      </c>
      <c r="D62" s="205">
        <v>7601</v>
      </c>
      <c r="E62" s="205">
        <v>720.738</v>
      </c>
      <c r="F62" s="182">
        <v>9688</v>
      </c>
      <c r="G62" s="182">
        <v>2589</v>
      </c>
      <c r="H62" s="252">
        <f t="shared" si="7"/>
        <v>5634</v>
      </c>
      <c r="I62" s="192">
        <v>5529</v>
      </c>
      <c r="J62" s="192">
        <v>105</v>
      </c>
      <c r="K62" s="192">
        <v>8</v>
      </c>
      <c r="L62" s="192">
        <v>8</v>
      </c>
      <c r="M62" s="253">
        <f t="shared" si="5"/>
        <v>13</v>
      </c>
      <c r="N62" s="192">
        <v>13</v>
      </c>
      <c r="O62" s="253">
        <f t="shared" si="8"/>
        <v>0</v>
      </c>
      <c r="P62" s="192">
        <v>0</v>
      </c>
      <c r="Q62" s="192">
        <v>0</v>
      </c>
      <c r="R62" s="192">
        <v>0</v>
      </c>
      <c r="S62" s="253">
        <v>0</v>
      </c>
      <c r="T62" s="254">
        <v>1</v>
      </c>
    </row>
    <row r="63" spans="1:20" s="117" customFormat="1" ht="18" customHeight="1">
      <c r="A63" s="189">
        <v>51</v>
      </c>
      <c r="B63" s="261" t="s">
        <v>249</v>
      </c>
      <c r="C63" s="205">
        <v>267951</v>
      </c>
      <c r="D63" s="205">
        <v>843</v>
      </c>
      <c r="E63" s="205">
        <v>772.818</v>
      </c>
      <c r="F63" s="182">
        <v>19237</v>
      </c>
      <c r="G63" s="182">
        <v>1715</v>
      </c>
      <c r="H63" s="252">
        <f t="shared" si="7"/>
        <v>5775</v>
      </c>
      <c r="I63" s="192">
        <v>5774</v>
      </c>
      <c r="J63" s="192">
        <v>1</v>
      </c>
      <c r="K63" s="192">
        <v>1</v>
      </c>
      <c r="L63" s="192">
        <v>1</v>
      </c>
      <c r="M63" s="253">
        <f t="shared" si="5"/>
        <v>52</v>
      </c>
      <c r="N63" s="192">
        <v>52</v>
      </c>
      <c r="O63" s="253">
        <f t="shared" si="8"/>
        <v>0</v>
      </c>
      <c r="P63" s="192">
        <v>0</v>
      </c>
      <c r="Q63" s="192">
        <v>0</v>
      </c>
      <c r="R63" s="192">
        <v>0</v>
      </c>
      <c r="S63" s="253">
        <v>0</v>
      </c>
      <c r="T63" s="254">
        <v>0</v>
      </c>
    </row>
    <row r="64" spans="1:20" s="127" customFormat="1" ht="18" customHeight="1">
      <c r="A64" s="189">
        <v>52</v>
      </c>
      <c r="B64" s="261" t="s">
        <v>250</v>
      </c>
      <c r="C64" s="205">
        <v>264541</v>
      </c>
      <c r="D64" s="205">
        <v>11811</v>
      </c>
      <c r="E64" s="205">
        <v>1078</v>
      </c>
      <c r="F64" s="182">
        <v>12182</v>
      </c>
      <c r="G64" s="182">
        <v>3074</v>
      </c>
      <c r="H64" s="252">
        <f t="shared" si="7"/>
        <v>6053</v>
      </c>
      <c r="I64" s="192">
        <v>5917</v>
      </c>
      <c r="J64" s="192">
        <v>136</v>
      </c>
      <c r="K64" s="192">
        <v>10</v>
      </c>
      <c r="L64" s="192">
        <v>10</v>
      </c>
      <c r="M64" s="253">
        <f t="shared" si="5"/>
        <v>10</v>
      </c>
      <c r="N64" s="192">
        <v>9</v>
      </c>
      <c r="O64" s="253">
        <f t="shared" si="8"/>
        <v>1</v>
      </c>
      <c r="P64" s="192">
        <v>1</v>
      </c>
      <c r="Q64" s="192">
        <v>0</v>
      </c>
      <c r="R64" s="192">
        <v>0</v>
      </c>
      <c r="S64" s="253">
        <v>0</v>
      </c>
      <c r="T64" s="254">
        <v>0</v>
      </c>
    </row>
    <row r="65" spans="1:20" s="117" customFormat="1" ht="18" customHeight="1">
      <c r="A65" s="189">
        <v>53</v>
      </c>
      <c r="B65" s="261" t="s">
        <v>251</v>
      </c>
      <c r="C65" s="205">
        <v>421216</v>
      </c>
      <c r="D65" s="205">
        <v>26010</v>
      </c>
      <c r="E65" s="205">
        <v>1033.465</v>
      </c>
      <c r="F65" s="182">
        <v>18222</v>
      </c>
      <c r="G65" s="182">
        <v>7127</v>
      </c>
      <c r="H65" s="252">
        <f t="shared" si="7"/>
        <v>10778</v>
      </c>
      <c r="I65" s="192">
        <v>10733</v>
      </c>
      <c r="J65" s="192">
        <v>45</v>
      </c>
      <c r="K65" s="192">
        <v>57</v>
      </c>
      <c r="L65" s="192">
        <v>54</v>
      </c>
      <c r="M65" s="253">
        <f t="shared" si="5"/>
        <v>25</v>
      </c>
      <c r="N65" s="192">
        <f>4+2+3+3+1+4+4+4</f>
        <v>25</v>
      </c>
      <c r="O65" s="253">
        <f t="shared" si="8"/>
        <v>0</v>
      </c>
      <c r="P65" s="192">
        <v>0</v>
      </c>
      <c r="Q65" s="192">
        <v>0</v>
      </c>
      <c r="R65" s="192">
        <v>0</v>
      </c>
      <c r="S65" s="253">
        <v>0</v>
      </c>
      <c r="T65" s="254">
        <v>0</v>
      </c>
    </row>
    <row r="66" spans="1:20" s="117" customFormat="1" ht="25.5">
      <c r="A66" s="189">
        <v>54</v>
      </c>
      <c r="B66" s="261" t="s">
        <v>252</v>
      </c>
      <c r="C66" s="205">
        <v>286582</v>
      </c>
      <c r="D66" s="205">
        <v>10747</v>
      </c>
      <c r="E66" s="205">
        <v>759.813</v>
      </c>
      <c r="F66" s="182">
        <v>17874</v>
      </c>
      <c r="G66" s="182">
        <v>2859</v>
      </c>
      <c r="H66" s="252">
        <f t="shared" si="7"/>
        <v>5300</v>
      </c>
      <c r="I66" s="192">
        <v>5261</v>
      </c>
      <c r="J66" s="192">
        <v>39</v>
      </c>
      <c r="K66" s="192">
        <v>12</v>
      </c>
      <c r="L66" s="192">
        <v>12</v>
      </c>
      <c r="M66" s="253">
        <f t="shared" si="5"/>
        <v>17</v>
      </c>
      <c r="N66" s="192">
        <v>12</v>
      </c>
      <c r="O66" s="253">
        <f t="shared" si="8"/>
        <v>5</v>
      </c>
      <c r="P66" s="192">
        <v>5</v>
      </c>
      <c r="Q66" s="192">
        <v>0</v>
      </c>
      <c r="R66" s="192">
        <v>0</v>
      </c>
      <c r="S66" s="253">
        <v>0</v>
      </c>
      <c r="T66" s="254">
        <v>0</v>
      </c>
    </row>
    <row r="67" spans="1:20" s="127" customFormat="1" ht="25.5">
      <c r="A67" s="189">
        <v>55</v>
      </c>
      <c r="B67" s="261" t="s">
        <v>253</v>
      </c>
      <c r="C67" s="205">
        <v>641394</v>
      </c>
      <c r="D67" s="205">
        <v>23883</v>
      </c>
      <c r="E67" s="205">
        <v>2650</v>
      </c>
      <c r="F67" s="182">
        <v>33516</v>
      </c>
      <c r="G67" s="182">
        <v>10377</v>
      </c>
      <c r="H67" s="252">
        <f t="shared" si="7"/>
        <v>18705</v>
      </c>
      <c r="I67" s="192">
        <v>18658</v>
      </c>
      <c r="J67" s="192">
        <v>47</v>
      </c>
      <c r="K67" s="192">
        <v>20</v>
      </c>
      <c r="L67" s="192">
        <v>20</v>
      </c>
      <c r="M67" s="253">
        <f t="shared" si="5"/>
        <v>28</v>
      </c>
      <c r="N67" s="192">
        <v>28</v>
      </c>
      <c r="O67" s="253">
        <f t="shared" si="8"/>
        <v>0</v>
      </c>
      <c r="P67" s="192">
        <v>0</v>
      </c>
      <c r="Q67" s="192">
        <v>0</v>
      </c>
      <c r="R67" s="192">
        <v>0</v>
      </c>
      <c r="S67" s="253">
        <v>0</v>
      </c>
      <c r="T67" s="254">
        <v>0</v>
      </c>
    </row>
    <row r="68" spans="1:20" s="127" customFormat="1" ht="38.25">
      <c r="A68" s="189">
        <v>56</v>
      </c>
      <c r="B68" s="261" t="s">
        <v>254</v>
      </c>
      <c r="C68" s="205">
        <v>225770</v>
      </c>
      <c r="D68" s="205">
        <v>4747</v>
      </c>
      <c r="E68" s="205">
        <v>1291</v>
      </c>
      <c r="F68" s="182">
        <v>12710</v>
      </c>
      <c r="G68" s="182">
        <v>3658</v>
      </c>
      <c r="H68" s="252">
        <f t="shared" si="7"/>
        <v>5997</v>
      </c>
      <c r="I68" s="192">
        <v>5843</v>
      </c>
      <c r="J68" s="192">
        <v>154</v>
      </c>
      <c r="K68" s="192">
        <v>6</v>
      </c>
      <c r="L68" s="192">
        <v>5</v>
      </c>
      <c r="M68" s="253">
        <f t="shared" si="5"/>
        <v>5</v>
      </c>
      <c r="N68" s="192">
        <v>4</v>
      </c>
      <c r="O68" s="253">
        <v>1</v>
      </c>
      <c r="P68" s="192">
        <v>1</v>
      </c>
      <c r="Q68" s="192">
        <v>0</v>
      </c>
      <c r="R68" s="192">
        <v>0</v>
      </c>
      <c r="S68" s="253">
        <v>0</v>
      </c>
      <c r="T68" s="254">
        <v>0</v>
      </c>
    </row>
    <row r="69" spans="1:20" s="117" customFormat="1" ht="25.5">
      <c r="A69" s="189">
        <v>57</v>
      </c>
      <c r="B69" s="261" t="s">
        <v>255</v>
      </c>
      <c r="C69" s="205">
        <v>269411</v>
      </c>
      <c r="D69" s="205">
        <v>10996</v>
      </c>
      <c r="E69" s="205">
        <v>1144.135</v>
      </c>
      <c r="F69" s="182">
        <v>13789</v>
      </c>
      <c r="G69" s="182">
        <v>4359</v>
      </c>
      <c r="H69" s="252">
        <f t="shared" si="7"/>
        <v>7633</v>
      </c>
      <c r="I69" s="192">
        <v>7442</v>
      </c>
      <c r="J69" s="192">
        <v>191</v>
      </c>
      <c r="K69" s="192">
        <v>11</v>
      </c>
      <c r="L69" s="192">
        <v>10</v>
      </c>
      <c r="M69" s="253">
        <f t="shared" si="5"/>
        <v>13</v>
      </c>
      <c r="N69" s="192">
        <v>13</v>
      </c>
      <c r="O69" s="253">
        <f t="shared" si="8"/>
        <v>0</v>
      </c>
      <c r="P69" s="192">
        <v>0</v>
      </c>
      <c r="Q69" s="192">
        <v>0</v>
      </c>
      <c r="R69" s="192">
        <v>0</v>
      </c>
      <c r="S69" s="253">
        <v>0</v>
      </c>
      <c r="T69" s="254">
        <v>0</v>
      </c>
    </row>
    <row r="70" spans="1:20" s="117" customFormat="1" ht="25.5">
      <c r="A70" s="189">
        <v>58</v>
      </c>
      <c r="B70" s="261" t="s">
        <v>256</v>
      </c>
      <c r="C70" s="205">
        <v>6386541</v>
      </c>
      <c r="D70" s="205">
        <v>906053</v>
      </c>
      <c r="E70" s="205">
        <v>36883</v>
      </c>
      <c r="F70" s="182">
        <v>45796</v>
      </c>
      <c r="G70" s="182">
        <v>14049</v>
      </c>
      <c r="H70" s="252">
        <f t="shared" si="7"/>
        <v>25685</v>
      </c>
      <c r="I70" s="192">
        <v>24418</v>
      </c>
      <c r="J70" s="192">
        <v>1267</v>
      </c>
      <c r="K70" s="192">
        <v>376</v>
      </c>
      <c r="L70" s="192">
        <v>370</v>
      </c>
      <c r="M70" s="253">
        <f t="shared" si="5"/>
        <v>157</v>
      </c>
      <c r="N70" s="192">
        <v>134</v>
      </c>
      <c r="O70" s="253">
        <f t="shared" si="8"/>
        <v>23</v>
      </c>
      <c r="P70" s="192">
        <v>6</v>
      </c>
      <c r="Q70" s="192">
        <v>17</v>
      </c>
      <c r="R70" s="192">
        <v>0</v>
      </c>
      <c r="S70" s="253">
        <v>0</v>
      </c>
      <c r="T70" s="255">
        <v>0</v>
      </c>
    </row>
    <row r="71" spans="1:20" s="117" customFormat="1" ht="18" customHeight="1">
      <c r="A71" s="189">
        <v>59</v>
      </c>
      <c r="B71" s="261" t="s">
        <v>257</v>
      </c>
      <c r="C71" s="205">
        <v>294101</v>
      </c>
      <c r="D71" s="205">
        <v>33281</v>
      </c>
      <c r="E71" s="205">
        <v>405</v>
      </c>
      <c r="F71" s="182">
        <f>515+2209+1326+1923+1337+2144+3093+1758</f>
        <v>14305</v>
      </c>
      <c r="G71" s="182">
        <f>196+376+246+471+236+296+592+295</f>
        <v>2708</v>
      </c>
      <c r="H71" s="252">
        <f t="shared" si="7"/>
        <v>5947</v>
      </c>
      <c r="I71" s="192">
        <v>5827</v>
      </c>
      <c r="J71" s="192">
        <v>120</v>
      </c>
      <c r="K71" s="192">
        <v>9</v>
      </c>
      <c r="L71" s="192">
        <v>7</v>
      </c>
      <c r="M71" s="253">
        <f t="shared" si="5"/>
        <v>7</v>
      </c>
      <c r="N71" s="192">
        <v>5</v>
      </c>
      <c r="O71" s="253">
        <f t="shared" si="8"/>
        <v>2</v>
      </c>
      <c r="P71" s="192">
        <v>2</v>
      </c>
      <c r="Q71" s="192">
        <v>0</v>
      </c>
      <c r="R71" s="192">
        <v>0</v>
      </c>
      <c r="S71" s="253">
        <v>0</v>
      </c>
      <c r="T71" s="254">
        <v>0</v>
      </c>
    </row>
    <row r="72" spans="1:20" s="117" customFormat="1" ht="25.5">
      <c r="A72" s="189">
        <v>60</v>
      </c>
      <c r="B72" s="261" t="s">
        <v>258</v>
      </c>
      <c r="C72" s="205">
        <v>186880</v>
      </c>
      <c r="D72" s="205">
        <v>1900</v>
      </c>
      <c r="E72" s="205">
        <v>1080.7</v>
      </c>
      <c r="F72" s="182">
        <v>9968</v>
      </c>
      <c r="G72" s="182">
        <v>2029</v>
      </c>
      <c r="H72" s="252">
        <f t="shared" si="7"/>
        <v>4936</v>
      </c>
      <c r="I72" s="192">
        <v>4921</v>
      </c>
      <c r="J72" s="192">
        <v>15</v>
      </c>
      <c r="K72" s="192">
        <v>8</v>
      </c>
      <c r="L72" s="192">
        <v>8</v>
      </c>
      <c r="M72" s="253">
        <f t="shared" si="5"/>
        <v>8</v>
      </c>
      <c r="N72" s="192">
        <v>8</v>
      </c>
      <c r="O72" s="253">
        <v>0</v>
      </c>
      <c r="P72" s="192">
        <v>0</v>
      </c>
      <c r="Q72" s="192">
        <v>0</v>
      </c>
      <c r="R72" s="192">
        <v>0</v>
      </c>
      <c r="S72" s="253">
        <v>0</v>
      </c>
      <c r="T72" s="254">
        <v>0</v>
      </c>
    </row>
    <row r="73" spans="1:20" s="117" customFormat="1" ht="25.5">
      <c r="A73" s="189">
        <v>61</v>
      </c>
      <c r="B73" s="261" t="s">
        <v>259</v>
      </c>
      <c r="C73" s="205">
        <v>212421</v>
      </c>
      <c r="D73" s="205">
        <v>8766</v>
      </c>
      <c r="E73" s="205">
        <v>1061.992</v>
      </c>
      <c r="F73" s="182">
        <v>9674</v>
      </c>
      <c r="G73" s="182">
        <v>2889</v>
      </c>
      <c r="H73" s="252">
        <f t="shared" si="7"/>
        <v>4966</v>
      </c>
      <c r="I73" s="192">
        <v>4787</v>
      </c>
      <c r="J73" s="192">
        <v>179</v>
      </c>
      <c r="K73" s="192">
        <v>84</v>
      </c>
      <c r="L73" s="192">
        <v>84</v>
      </c>
      <c r="M73" s="253">
        <f t="shared" si="5"/>
        <v>12</v>
      </c>
      <c r="N73" s="192">
        <v>10</v>
      </c>
      <c r="O73" s="253">
        <f t="shared" si="8"/>
        <v>2</v>
      </c>
      <c r="P73" s="192">
        <v>2</v>
      </c>
      <c r="Q73" s="192">
        <v>0</v>
      </c>
      <c r="R73" s="192">
        <v>0</v>
      </c>
      <c r="S73" s="253">
        <v>0</v>
      </c>
      <c r="T73" s="255">
        <v>0</v>
      </c>
    </row>
    <row r="74" spans="1:20" s="117" customFormat="1" ht="25.5">
      <c r="A74" s="189">
        <v>62</v>
      </c>
      <c r="B74" s="261" t="s">
        <v>260</v>
      </c>
      <c r="C74" s="205">
        <v>139201</v>
      </c>
      <c r="D74" s="205">
        <v>6403</v>
      </c>
      <c r="E74" s="205">
        <v>271.538613</v>
      </c>
      <c r="F74" s="182">
        <v>13598</v>
      </c>
      <c r="G74" s="182">
        <v>2451</v>
      </c>
      <c r="H74" s="252">
        <f t="shared" si="7"/>
        <v>7507</v>
      </c>
      <c r="I74" s="192">
        <v>7492</v>
      </c>
      <c r="J74" s="192">
        <v>15</v>
      </c>
      <c r="K74" s="192">
        <v>4</v>
      </c>
      <c r="L74" s="192">
        <v>4</v>
      </c>
      <c r="M74" s="253">
        <f t="shared" si="5"/>
        <v>20</v>
      </c>
      <c r="N74" s="192">
        <v>19</v>
      </c>
      <c r="O74" s="253">
        <v>1</v>
      </c>
      <c r="P74" s="192">
        <v>1</v>
      </c>
      <c r="Q74" s="192">
        <v>0</v>
      </c>
      <c r="R74" s="192">
        <v>0</v>
      </c>
      <c r="S74" s="253">
        <v>0</v>
      </c>
      <c r="T74" s="254">
        <v>0</v>
      </c>
    </row>
    <row r="75" spans="1:20" s="127" customFormat="1" ht="18" customHeight="1">
      <c r="A75" s="189">
        <v>63</v>
      </c>
      <c r="B75" s="261" t="s">
        <v>261</v>
      </c>
      <c r="C75" s="205">
        <v>76876</v>
      </c>
      <c r="D75" s="205">
        <v>792</v>
      </c>
      <c r="E75" s="205">
        <v>268.3415</v>
      </c>
      <c r="F75" s="182">
        <v>7277</v>
      </c>
      <c r="G75" s="182">
        <v>1245</v>
      </c>
      <c r="H75" s="252">
        <f t="shared" si="7"/>
        <v>3636</v>
      </c>
      <c r="I75" s="192">
        <v>3627</v>
      </c>
      <c r="J75" s="192">
        <v>9</v>
      </c>
      <c r="K75" s="192">
        <v>10</v>
      </c>
      <c r="L75" s="192">
        <v>10</v>
      </c>
      <c r="M75" s="253">
        <f t="shared" si="5"/>
        <v>11</v>
      </c>
      <c r="N75" s="192">
        <v>11</v>
      </c>
      <c r="O75" s="253">
        <f t="shared" si="8"/>
        <v>0</v>
      </c>
      <c r="P75" s="192">
        <v>0</v>
      </c>
      <c r="Q75" s="192">
        <v>0</v>
      </c>
      <c r="R75" s="192">
        <v>0</v>
      </c>
      <c r="S75" s="253">
        <v>0</v>
      </c>
      <c r="T75" s="254">
        <v>0</v>
      </c>
    </row>
    <row r="76" spans="1:8" s="22" customFormat="1" ht="13.5" customHeight="1">
      <c r="A76"/>
      <c r="B76"/>
      <c r="C76" s="63"/>
      <c r="D76"/>
      <c r="E76"/>
      <c r="F76"/>
      <c r="G76"/>
      <c r="H76"/>
    </row>
    <row r="77" ht="13.5" customHeight="1"/>
    <row r="78" spans="1:20" s="210" customFormat="1" ht="12.75">
      <c r="A78" s="47"/>
      <c r="B78" s="47" t="s">
        <v>264</v>
      </c>
      <c r="D78" s="47" t="s">
        <v>286</v>
      </c>
      <c r="E78" s="47"/>
      <c r="F78" s="47"/>
      <c r="G78" s="47"/>
      <c r="H78" s="47"/>
      <c r="I78" s="47"/>
      <c r="J78" s="47"/>
      <c r="K78" s="212"/>
      <c r="L78" s="47"/>
      <c r="M78" s="47"/>
      <c r="N78" s="47"/>
      <c r="O78" s="47"/>
      <c r="P78" s="47"/>
      <c r="Q78" s="47"/>
      <c r="R78" s="47"/>
      <c r="S78" s="47"/>
      <c r="T78" s="47"/>
    </row>
    <row r="79" spans="1:20" s="211" customFormat="1" ht="12.75">
      <c r="A79" s="47"/>
      <c r="B79" s="47" t="s">
        <v>293</v>
      </c>
      <c r="D79" s="47" t="s">
        <v>296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214"/>
      <c r="T79" s="214"/>
    </row>
    <row r="80" spans="1:20" s="211" customFormat="1" ht="16.5" customHeight="1">
      <c r="A80" s="47"/>
      <c r="B80" s="210" t="s">
        <v>289</v>
      </c>
      <c r="D80" s="47" t="s">
        <v>287</v>
      </c>
      <c r="F80" s="47"/>
      <c r="G80" s="47"/>
      <c r="H80" s="47"/>
      <c r="I80" s="47"/>
      <c r="J80" s="47"/>
      <c r="K80" s="212"/>
      <c r="L80" s="47"/>
      <c r="M80" s="47"/>
      <c r="N80" s="47"/>
      <c r="O80" s="47"/>
      <c r="P80" s="47"/>
      <c r="Q80" s="47"/>
      <c r="R80" s="47"/>
      <c r="S80" s="47"/>
      <c r="T80" s="47"/>
    </row>
    <row r="81" ht="13.5" customHeight="1">
      <c r="B81" t="s">
        <v>271</v>
      </c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spans="1:8" s="22" customFormat="1" ht="13.5" customHeight="1">
      <c r="A93"/>
      <c r="B93"/>
      <c r="C93" s="63"/>
      <c r="D93"/>
      <c r="E93"/>
      <c r="F93"/>
      <c r="G93"/>
      <c r="H93"/>
    </row>
    <row r="94" ht="13.5" customHeight="1"/>
    <row r="95" ht="30" customHeight="1"/>
    <row r="96" ht="13.5" customHeight="1"/>
    <row r="97" spans="1:8" s="22" customFormat="1" ht="14.25" customHeight="1">
      <c r="A97"/>
      <c r="B97"/>
      <c r="C97" s="63"/>
      <c r="D97"/>
      <c r="E97"/>
      <c r="F97"/>
      <c r="G97"/>
      <c r="H97"/>
    </row>
    <row r="98" spans="1:8" s="22" customFormat="1" ht="13.5" customHeight="1">
      <c r="A98"/>
      <c r="B98"/>
      <c r="C98" s="63"/>
      <c r="D98"/>
      <c r="E98"/>
      <c r="F98"/>
      <c r="G98"/>
      <c r="H98"/>
    </row>
    <row r="99" spans="1:8" s="22" customFormat="1" ht="13.5" customHeight="1">
      <c r="A99"/>
      <c r="B99"/>
      <c r="C99" s="63"/>
      <c r="D99"/>
      <c r="E99"/>
      <c r="F99"/>
      <c r="G99"/>
      <c r="H99"/>
    </row>
    <row r="100" spans="1:8" s="22" customFormat="1" ht="13.5" customHeight="1">
      <c r="A100"/>
      <c r="B100"/>
      <c r="C100" s="63"/>
      <c r="D100"/>
      <c r="E100"/>
      <c r="F100"/>
      <c r="G100"/>
      <c r="H100"/>
    </row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spans="1:8" s="22" customFormat="1" ht="13.5" customHeight="1">
      <c r="A110"/>
      <c r="B110"/>
      <c r="C110" s="63"/>
      <c r="D110"/>
      <c r="E110"/>
      <c r="F110"/>
      <c r="G110"/>
      <c r="H110"/>
    </row>
    <row r="111" spans="1:8" s="22" customFormat="1" ht="13.5" customHeight="1">
      <c r="A111"/>
      <c r="B111"/>
      <c r="C111" s="63"/>
      <c r="D111"/>
      <c r="E111"/>
      <c r="F111"/>
      <c r="G111"/>
      <c r="H111"/>
    </row>
    <row r="112" ht="13.5" customHeight="1"/>
    <row r="113" ht="13.5" customHeight="1"/>
    <row r="114" ht="13.5" customHeight="1"/>
    <row r="115" ht="13.5" customHeight="1"/>
    <row r="116" ht="13.5" customHeight="1"/>
    <row r="117" spans="1:8" s="22" customFormat="1" ht="13.5" customHeight="1">
      <c r="A117"/>
      <c r="B117"/>
      <c r="C117" s="63"/>
      <c r="D117"/>
      <c r="E117"/>
      <c r="F117"/>
      <c r="G117"/>
      <c r="H117"/>
    </row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spans="1:8" s="22" customFormat="1" ht="13.5" customHeight="1">
      <c r="A125"/>
      <c r="B125"/>
      <c r="C125" s="63"/>
      <c r="D125"/>
      <c r="E125"/>
      <c r="F125"/>
      <c r="G125"/>
      <c r="H125"/>
    </row>
    <row r="126" ht="13.5" customHeight="1"/>
    <row r="127" ht="13.5" customHeight="1"/>
    <row r="128" ht="16.5" customHeight="1"/>
    <row r="129" ht="7.5" customHeight="1"/>
  </sheetData>
  <sheetProtection/>
  <mergeCells count="32">
    <mergeCell ref="C34:F34"/>
    <mergeCell ref="T7:T10"/>
    <mergeCell ref="A12:B12"/>
    <mergeCell ref="F7:F10"/>
    <mergeCell ref="G7:G10"/>
    <mergeCell ref="E7:E10"/>
    <mergeCell ref="N7:R7"/>
    <mergeCell ref="A11:B11"/>
    <mergeCell ref="C7:C10"/>
    <mergeCell ref="P9:R9"/>
    <mergeCell ref="D7:D10"/>
    <mergeCell ref="O9:O10"/>
    <mergeCell ref="M7:M10"/>
    <mergeCell ref="K7:L8"/>
    <mergeCell ref="C6:E6"/>
    <mergeCell ref="A6:B10"/>
    <mergeCell ref="H7:J7"/>
    <mergeCell ref="H8:H10"/>
    <mergeCell ref="I8:J8"/>
    <mergeCell ref="S6:T6"/>
    <mergeCell ref="S7:S10"/>
    <mergeCell ref="F6:L6"/>
    <mergeCell ref="A2:R2"/>
    <mergeCell ref="N8:N10"/>
    <mergeCell ref="O8:R8"/>
    <mergeCell ref="I9:I10"/>
    <mergeCell ref="J9:J10"/>
    <mergeCell ref="K9:K10"/>
    <mergeCell ref="L9:L10"/>
    <mergeCell ref="A3:R3"/>
    <mergeCell ref="A4:R4"/>
    <mergeCell ref="M6:R6"/>
  </mergeCells>
  <printOptions/>
  <pageMargins left="0.3" right="0.2" top="1" bottom="0.5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8"/>
  <sheetViews>
    <sheetView zoomScalePageLayoutView="0" workbookViewId="0" topLeftCell="C1">
      <selection activeCell="C10" sqref="C10:Q10"/>
    </sheetView>
  </sheetViews>
  <sheetFormatPr defaultColWidth="9.140625" defaultRowHeight="12.75"/>
  <cols>
    <col min="1" max="1" width="4.421875" style="22" customWidth="1"/>
    <col min="2" max="2" width="14.57421875" style="22" customWidth="1"/>
    <col min="3" max="3" width="8.57421875" style="22" customWidth="1"/>
    <col min="4" max="4" width="9.57421875" style="22" customWidth="1"/>
    <col min="5" max="5" width="8.57421875" style="22" customWidth="1"/>
    <col min="6" max="6" width="9.00390625" style="22" customWidth="1"/>
    <col min="7" max="7" width="9.28125" style="22" customWidth="1"/>
    <col min="8" max="8" width="8.140625" style="22" customWidth="1"/>
    <col min="9" max="9" width="9.7109375" style="22" customWidth="1"/>
    <col min="10" max="10" width="7.140625" style="22" customWidth="1"/>
    <col min="11" max="11" width="9.57421875" style="22" customWidth="1"/>
    <col min="12" max="12" width="5.7109375" style="22" customWidth="1"/>
    <col min="13" max="13" width="5.8515625" style="22" customWidth="1"/>
    <col min="14" max="14" width="6.421875" style="22" customWidth="1"/>
    <col min="15" max="15" width="6.8515625" style="22" customWidth="1"/>
    <col min="16" max="17" width="7.421875" style="22" customWidth="1"/>
    <col min="18" max="16384" width="9.140625" style="22" customWidth="1"/>
  </cols>
  <sheetData>
    <row r="1" spans="1:5" s="47" customFormat="1" ht="21.75" customHeight="1">
      <c r="A1" s="95" t="s">
        <v>7</v>
      </c>
      <c r="D1" s="95"/>
      <c r="E1" s="44"/>
    </row>
    <row r="2" spans="4:17" s="47" customFormat="1" ht="25.5" customHeight="1">
      <c r="D2" s="45"/>
      <c r="E2" s="45"/>
      <c r="F2" s="45"/>
      <c r="G2" s="45"/>
      <c r="H2" s="45"/>
      <c r="I2" s="45" t="s">
        <v>71</v>
      </c>
      <c r="J2" s="45"/>
      <c r="K2" s="45"/>
      <c r="L2" s="48"/>
      <c r="M2" s="48"/>
      <c r="N2" s="48"/>
      <c r="O2" s="48"/>
      <c r="P2" s="48"/>
      <c r="Q2" s="48"/>
    </row>
    <row r="3" spans="4:17" s="47" customFormat="1" ht="29.25" customHeight="1">
      <c r="D3" s="77"/>
      <c r="E3" s="77"/>
      <c r="F3" s="77"/>
      <c r="G3" s="77"/>
      <c r="H3" s="77"/>
      <c r="I3" s="58" t="s">
        <v>147</v>
      </c>
      <c r="J3" s="77"/>
      <c r="K3" s="77"/>
      <c r="L3" s="53"/>
      <c r="M3" s="53"/>
      <c r="N3" s="53"/>
      <c r="O3" s="53"/>
      <c r="P3" s="48"/>
      <c r="Q3" s="48"/>
    </row>
    <row r="4" spans="4:15" s="47" customFormat="1" ht="18.75">
      <c r="D4" s="50"/>
      <c r="E4" s="50"/>
      <c r="F4" s="50"/>
      <c r="G4" s="50"/>
      <c r="H4" s="50"/>
      <c r="I4" s="58" t="s">
        <v>171</v>
      </c>
      <c r="J4" s="50"/>
      <c r="K4" s="50"/>
      <c r="L4" s="50"/>
      <c r="M4" s="50"/>
      <c r="N4" s="50"/>
      <c r="O4" s="50"/>
    </row>
    <row r="5" spans="6:17" ht="12.75">
      <c r="F5" s="81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28.5" customHeight="1">
      <c r="A6" s="394"/>
      <c r="B6" s="395"/>
      <c r="C6" s="402" t="s">
        <v>112</v>
      </c>
      <c r="D6" s="403"/>
      <c r="E6" s="404"/>
      <c r="F6" s="405" t="s">
        <v>113</v>
      </c>
      <c r="G6" s="405"/>
      <c r="H6" s="405"/>
      <c r="I6" s="405"/>
      <c r="J6" s="405"/>
      <c r="K6" s="405"/>
      <c r="L6" s="405" t="s">
        <v>114</v>
      </c>
      <c r="M6" s="405"/>
      <c r="N6" s="405"/>
      <c r="O6" s="405"/>
      <c r="P6" s="405"/>
      <c r="Q6" s="405"/>
    </row>
    <row r="7" spans="1:17" ht="24.75" customHeight="1">
      <c r="A7" s="396"/>
      <c r="B7" s="397"/>
      <c r="C7" s="320" t="s">
        <v>9</v>
      </c>
      <c r="D7" s="409" t="s">
        <v>69</v>
      </c>
      <c r="E7" s="409"/>
      <c r="F7" s="410" t="s">
        <v>9</v>
      </c>
      <c r="G7" s="384" t="s">
        <v>105</v>
      </c>
      <c r="H7" s="384"/>
      <c r="I7" s="384"/>
      <c r="J7" s="384" t="s">
        <v>106</v>
      </c>
      <c r="K7" s="384"/>
      <c r="L7" s="410" t="s">
        <v>9</v>
      </c>
      <c r="M7" s="384" t="s">
        <v>105</v>
      </c>
      <c r="N7" s="384"/>
      <c r="O7" s="384"/>
      <c r="P7" s="384" t="s">
        <v>106</v>
      </c>
      <c r="Q7" s="384"/>
    </row>
    <row r="8" spans="1:17" s="91" customFormat="1" ht="88.5" customHeight="1">
      <c r="A8" s="398"/>
      <c r="B8" s="399"/>
      <c r="C8" s="320"/>
      <c r="D8" s="60" t="s">
        <v>19</v>
      </c>
      <c r="E8" s="60" t="s">
        <v>20</v>
      </c>
      <c r="F8" s="410"/>
      <c r="G8" s="60" t="s">
        <v>19</v>
      </c>
      <c r="H8" s="60" t="s">
        <v>20</v>
      </c>
      <c r="I8" s="60" t="s">
        <v>21</v>
      </c>
      <c r="J8" s="60" t="s">
        <v>107</v>
      </c>
      <c r="K8" s="60" t="s">
        <v>108</v>
      </c>
      <c r="L8" s="410"/>
      <c r="M8" s="60" t="s">
        <v>19</v>
      </c>
      <c r="N8" s="60" t="s">
        <v>20</v>
      </c>
      <c r="O8" s="60" t="s">
        <v>109</v>
      </c>
      <c r="P8" s="60" t="s">
        <v>110</v>
      </c>
      <c r="Q8" s="60" t="s">
        <v>111</v>
      </c>
    </row>
    <row r="9" spans="1:17" s="93" customFormat="1" ht="15">
      <c r="A9" s="400" t="s">
        <v>40</v>
      </c>
      <c r="B9" s="401"/>
      <c r="C9" s="92">
        <v>1</v>
      </c>
      <c r="D9" s="92">
        <v>2</v>
      </c>
      <c r="E9" s="92">
        <v>3</v>
      </c>
      <c r="F9" s="83">
        <v>4</v>
      </c>
      <c r="G9" s="83">
        <v>5</v>
      </c>
      <c r="H9" s="83">
        <v>6</v>
      </c>
      <c r="I9" s="83">
        <v>7</v>
      </c>
      <c r="J9" s="83">
        <v>8</v>
      </c>
      <c r="K9" s="83">
        <v>9</v>
      </c>
      <c r="L9" s="83">
        <v>10</v>
      </c>
      <c r="M9" s="83">
        <v>11</v>
      </c>
      <c r="N9" s="83">
        <v>12</v>
      </c>
      <c r="O9" s="83">
        <v>13</v>
      </c>
      <c r="P9" s="83">
        <v>14</v>
      </c>
      <c r="Q9" s="83">
        <v>15</v>
      </c>
    </row>
    <row r="10" spans="1:17" ht="31.5" customHeight="1">
      <c r="A10" s="392" t="s">
        <v>96</v>
      </c>
      <c r="B10" s="393"/>
      <c r="C10" s="136">
        <f aca="true" t="shared" si="0" ref="C10:Q10">SUM(C11:C73)</f>
        <v>46659</v>
      </c>
      <c r="D10" s="136">
        <f t="shared" si="0"/>
        <v>45108</v>
      </c>
      <c r="E10" s="136">
        <f t="shared" si="0"/>
        <v>1551</v>
      </c>
      <c r="F10" s="136">
        <f t="shared" si="0"/>
        <v>68950</v>
      </c>
      <c r="G10" s="136">
        <f t="shared" si="0"/>
        <v>62472</v>
      </c>
      <c r="H10" s="136">
        <f t="shared" si="0"/>
        <v>6478</v>
      </c>
      <c r="I10" s="136">
        <f t="shared" si="0"/>
        <v>0</v>
      </c>
      <c r="J10" s="136">
        <f t="shared" si="0"/>
        <v>178</v>
      </c>
      <c r="K10" s="136">
        <f t="shared" si="0"/>
        <v>61296</v>
      </c>
      <c r="L10" s="136">
        <f t="shared" si="0"/>
        <v>9</v>
      </c>
      <c r="M10" s="136">
        <f t="shared" si="0"/>
        <v>4</v>
      </c>
      <c r="N10" s="136">
        <f t="shared" si="0"/>
        <v>0</v>
      </c>
      <c r="O10" s="136">
        <f t="shared" si="0"/>
        <v>0</v>
      </c>
      <c r="P10" s="136">
        <f t="shared" si="0"/>
        <v>0</v>
      </c>
      <c r="Q10" s="136">
        <f t="shared" si="0"/>
        <v>8</v>
      </c>
    </row>
    <row r="11" spans="1:17" ht="15.75">
      <c r="A11" s="154">
        <v>1</v>
      </c>
      <c r="B11" s="155" t="s">
        <v>175</v>
      </c>
      <c r="C11" s="116">
        <f aca="true" t="shared" si="1" ref="C11:C73">D11+E11</f>
        <v>2253</v>
      </c>
      <c r="D11" s="120">
        <v>2249</v>
      </c>
      <c r="E11" s="120">
        <v>4</v>
      </c>
      <c r="F11" s="116">
        <f aca="true" t="shared" si="2" ref="F11:F73">G11+H11+I11</f>
        <v>5412</v>
      </c>
      <c r="G11" s="120">
        <v>5404</v>
      </c>
      <c r="H11" s="120">
        <v>8</v>
      </c>
      <c r="I11" s="120">
        <v>0</v>
      </c>
      <c r="J11" s="120">
        <v>0</v>
      </c>
      <c r="K11" s="120">
        <v>2253</v>
      </c>
      <c r="L11" s="116">
        <f>M11+N11+O11</f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</row>
    <row r="12" spans="1:17" ht="30">
      <c r="A12" s="154">
        <v>2</v>
      </c>
      <c r="B12" s="155" t="s">
        <v>263</v>
      </c>
      <c r="C12" s="116">
        <f t="shared" si="1"/>
        <v>700</v>
      </c>
      <c r="D12" s="120">
        <v>700</v>
      </c>
      <c r="E12" s="120"/>
      <c r="F12" s="116">
        <f t="shared" si="2"/>
        <v>1218</v>
      </c>
      <c r="G12" s="120">
        <v>1036</v>
      </c>
      <c r="H12" s="120">
        <v>182</v>
      </c>
      <c r="I12" s="120">
        <v>0</v>
      </c>
      <c r="J12" s="120">
        <v>0</v>
      </c>
      <c r="K12" s="120">
        <v>1218</v>
      </c>
      <c r="L12" s="116">
        <f aca="true" t="shared" si="3" ref="L12:L28">M12+N12+O12</f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</row>
    <row r="13" spans="1:17" ht="15.75">
      <c r="A13" s="154">
        <v>3</v>
      </c>
      <c r="B13" s="155" t="s">
        <v>176</v>
      </c>
      <c r="C13" s="116">
        <f t="shared" si="1"/>
        <v>65</v>
      </c>
      <c r="D13" s="120">
        <v>65</v>
      </c>
      <c r="E13" s="120">
        <v>0</v>
      </c>
      <c r="F13" s="116">
        <f t="shared" si="2"/>
        <v>697</v>
      </c>
      <c r="G13" s="120">
        <v>620</v>
      </c>
      <c r="H13" s="120">
        <v>77</v>
      </c>
      <c r="I13" s="120">
        <v>0</v>
      </c>
      <c r="J13" s="120">
        <v>0</v>
      </c>
      <c r="K13" s="120">
        <v>697</v>
      </c>
      <c r="L13" s="116">
        <f t="shared" si="3"/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</row>
    <row r="14" spans="1:17" ht="15.75">
      <c r="A14" s="154">
        <v>4</v>
      </c>
      <c r="B14" s="155" t="s">
        <v>177</v>
      </c>
      <c r="C14" s="116">
        <f t="shared" si="1"/>
        <v>152</v>
      </c>
      <c r="D14" s="120">
        <v>152</v>
      </c>
      <c r="E14" s="120">
        <v>0</v>
      </c>
      <c r="F14" s="116">
        <f t="shared" si="2"/>
        <v>153</v>
      </c>
      <c r="G14" s="120">
        <v>95</v>
      </c>
      <c r="H14" s="120">
        <v>58</v>
      </c>
      <c r="I14" s="120">
        <v>0</v>
      </c>
      <c r="J14" s="120">
        <v>0</v>
      </c>
      <c r="K14" s="120">
        <v>153</v>
      </c>
      <c r="L14" s="116">
        <f t="shared" si="3"/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</row>
    <row r="15" spans="1:17" ht="15.75">
      <c r="A15" s="154">
        <v>5</v>
      </c>
      <c r="B15" s="155" t="s">
        <v>178</v>
      </c>
      <c r="C15" s="116">
        <f t="shared" si="1"/>
        <v>412</v>
      </c>
      <c r="D15" s="120">
        <v>412</v>
      </c>
      <c r="E15" s="120">
        <v>0</v>
      </c>
      <c r="F15" s="116">
        <f t="shared" si="2"/>
        <v>428</v>
      </c>
      <c r="G15" s="120">
        <v>426</v>
      </c>
      <c r="H15" s="120">
        <v>2</v>
      </c>
      <c r="I15" s="120">
        <v>0</v>
      </c>
      <c r="J15" s="120">
        <v>1</v>
      </c>
      <c r="K15" s="120">
        <v>427</v>
      </c>
      <c r="L15" s="116">
        <f t="shared" si="3"/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</row>
    <row r="16" spans="1:17" ht="15.75">
      <c r="A16" s="154">
        <v>6</v>
      </c>
      <c r="B16" s="155" t="s">
        <v>179</v>
      </c>
      <c r="C16" s="116">
        <f t="shared" si="1"/>
        <v>447</v>
      </c>
      <c r="D16" s="120">
        <v>447</v>
      </c>
      <c r="E16" s="120">
        <v>0</v>
      </c>
      <c r="F16" s="116">
        <f t="shared" si="2"/>
        <v>627</v>
      </c>
      <c r="G16" s="120">
        <v>348</v>
      </c>
      <c r="H16" s="120">
        <v>279</v>
      </c>
      <c r="I16" s="120">
        <v>0</v>
      </c>
      <c r="J16" s="120">
        <v>2</v>
      </c>
      <c r="K16" s="120">
        <v>626</v>
      </c>
      <c r="L16" s="116">
        <f t="shared" si="3"/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</row>
    <row r="17" spans="1:17" ht="15.75">
      <c r="A17" s="154">
        <v>7</v>
      </c>
      <c r="B17" s="155" t="s">
        <v>180</v>
      </c>
      <c r="C17" s="116">
        <f t="shared" si="1"/>
        <v>40</v>
      </c>
      <c r="D17" s="120">
        <v>40</v>
      </c>
      <c r="E17" s="120">
        <v>0</v>
      </c>
      <c r="F17" s="116">
        <f t="shared" si="2"/>
        <v>685</v>
      </c>
      <c r="G17" s="120">
        <v>684</v>
      </c>
      <c r="H17" s="120">
        <v>1</v>
      </c>
      <c r="I17" s="120">
        <v>0</v>
      </c>
      <c r="J17" s="120">
        <v>0</v>
      </c>
      <c r="K17" s="120">
        <v>685</v>
      </c>
      <c r="L17" s="116">
        <f t="shared" si="3"/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</row>
    <row r="18" spans="1:17" ht="15.75">
      <c r="A18" s="154">
        <v>8</v>
      </c>
      <c r="B18" s="155" t="s">
        <v>181</v>
      </c>
      <c r="C18" s="116">
        <f t="shared" si="1"/>
        <v>486</v>
      </c>
      <c r="D18" s="120">
        <v>486</v>
      </c>
      <c r="E18" s="120">
        <v>0</v>
      </c>
      <c r="F18" s="116">
        <f t="shared" si="2"/>
        <v>276</v>
      </c>
      <c r="G18" s="120">
        <v>270</v>
      </c>
      <c r="H18" s="120">
        <v>6</v>
      </c>
      <c r="I18" s="120">
        <v>0</v>
      </c>
      <c r="J18" s="120">
        <v>0</v>
      </c>
      <c r="K18" s="120">
        <v>276</v>
      </c>
      <c r="L18" s="116">
        <f t="shared" si="3"/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</row>
    <row r="19" spans="1:17" ht="15.75">
      <c r="A19" s="154">
        <v>9</v>
      </c>
      <c r="B19" s="155" t="s">
        <v>182</v>
      </c>
      <c r="C19" s="116">
        <f t="shared" si="1"/>
        <v>0</v>
      </c>
      <c r="D19" s="120"/>
      <c r="E19" s="120"/>
      <c r="F19" s="116">
        <f t="shared" si="2"/>
        <v>1499</v>
      </c>
      <c r="G19" s="120">
        <v>679</v>
      </c>
      <c r="H19" s="120">
        <v>820</v>
      </c>
      <c r="I19" s="120">
        <v>0</v>
      </c>
      <c r="J19" s="120">
        <v>1</v>
      </c>
      <c r="K19" s="120">
        <v>1498</v>
      </c>
      <c r="L19" s="116">
        <f t="shared" si="3"/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</row>
    <row r="20" spans="1:17" ht="15.75">
      <c r="A20" s="154">
        <v>10</v>
      </c>
      <c r="B20" s="155" t="s">
        <v>183</v>
      </c>
      <c r="C20" s="116">
        <f t="shared" si="1"/>
        <v>199</v>
      </c>
      <c r="D20" s="120">
        <v>199</v>
      </c>
      <c r="E20" s="120">
        <v>0</v>
      </c>
      <c r="F20" s="116">
        <f t="shared" si="2"/>
        <v>163</v>
      </c>
      <c r="G20" s="120">
        <v>157</v>
      </c>
      <c r="H20" s="120">
        <v>6</v>
      </c>
      <c r="I20" s="120">
        <v>0</v>
      </c>
      <c r="J20" s="120">
        <v>0</v>
      </c>
      <c r="K20" s="120">
        <v>163</v>
      </c>
      <c r="L20" s="116">
        <f t="shared" si="3"/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</row>
    <row r="21" spans="1:17" ht="15.75">
      <c r="A21" s="154">
        <v>11</v>
      </c>
      <c r="B21" s="155" t="s">
        <v>184</v>
      </c>
      <c r="C21" s="116">
        <f t="shared" si="1"/>
        <v>698</v>
      </c>
      <c r="D21" s="120">
        <v>698</v>
      </c>
      <c r="E21" s="120">
        <v>0</v>
      </c>
      <c r="F21" s="116">
        <f t="shared" si="2"/>
        <v>679</v>
      </c>
      <c r="G21" s="120">
        <v>667</v>
      </c>
      <c r="H21" s="120">
        <v>12</v>
      </c>
      <c r="I21" s="120">
        <v>0</v>
      </c>
      <c r="J21" s="120">
        <v>1</v>
      </c>
      <c r="K21" s="120">
        <v>678</v>
      </c>
      <c r="L21" s="116">
        <f t="shared" si="3"/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</row>
    <row r="22" spans="1:17" ht="15.75">
      <c r="A22" s="154">
        <v>12</v>
      </c>
      <c r="B22" s="155" t="s">
        <v>185</v>
      </c>
      <c r="C22" s="116">
        <f t="shared" si="1"/>
        <v>609</v>
      </c>
      <c r="D22" s="120">
        <v>609</v>
      </c>
      <c r="E22" s="120">
        <v>0</v>
      </c>
      <c r="F22" s="116">
        <f t="shared" si="2"/>
        <v>664</v>
      </c>
      <c r="G22" s="120">
        <v>663</v>
      </c>
      <c r="H22" s="120">
        <v>1</v>
      </c>
      <c r="I22" s="120">
        <v>0</v>
      </c>
      <c r="J22" s="120">
        <v>2</v>
      </c>
      <c r="K22" s="120">
        <v>662</v>
      </c>
      <c r="L22" s="116">
        <f t="shared" si="3"/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</row>
    <row r="23" spans="1:17" ht="15.75">
      <c r="A23" s="154">
        <v>13</v>
      </c>
      <c r="B23" s="155" t="s">
        <v>186</v>
      </c>
      <c r="C23" s="116">
        <f t="shared" si="1"/>
        <v>1226</v>
      </c>
      <c r="D23" s="163">
        <v>1212</v>
      </c>
      <c r="E23" s="163">
        <v>14</v>
      </c>
      <c r="F23" s="116">
        <f t="shared" si="2"/>
        <v>1226</v>
      </c>
      <c r="G23" s="163">
        <v>1212</v>
      </c>
      <c r="H23" s="163">
        <v>14</v>
      </c>
      <c r="I23" s="120">
        <v>0</v>
      </c>
      <c r="J23" s="120">
        <v>3</v>
      </c>
      <c r="K23" s="120">
        <v>783</v>
      </c>
      <c r="L23" s="116">
        <f t="shared" si="3"/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</row>
    <row r="24" spans="1:17" ht="15.75">
      <c r="A24" s="154">
        <v>14</v>
      </c>
      <c r="B24" s="155" t="s">
        <v>187</v>
      </c>
      <c r="C24" s="116">
        <f t="shared" si="1"/>
        <v>184</v>
      </c>
      <c r="D24" s="120">
        <v>184</v>
      </c>
      <c r="E24" s="120">
        <v>0</v>
      </c>
      <c r="F24" s="116">
        <f t="shared" si="2"/>
        <v>67</v>
      </c>
      <c r="G24" s="120">
        <v>36</v>
      </c>
      <c r="H24" s="120">
        <v>31</v>
      </c>
      <c r="I24" s="120">
        <v>0</v>
      </c>
      <c r="J24" s="120">
        <v>0</v>
      </c>
      <c r="K24" s="120">
        <v>67</v>
      </c>
      <c r="L24" s="116">
        <f t="shared" si="3"/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</row>
    <row r="25" spans="1:17" ht="15.75">
      <c r="A25" s="154">
        <v>15</v>
      </c>
      <c r="B25" s="155" t="s">
        <v>188</v>
      </c>
      <c r="C25" s="116">
        <f t="shared" si="1"/>
        <v>672</v>
      </c>
      <c r="D25" s="120">
        <v>672</v>
      </c>
      <c r="E25" s="120">
        <v>0</v>
      </c>
      <c r="F25" s="116">
        <f t="shared" si="2"/>
        <v>1034</v>
      </c>
      <c r="G25" s="120">
        <v>929</v>
      </c>
      <c r="H25" s="120">
        <v>105</v>
      </c>
      <c r="I25" s="120">
        <v>0</v>
      </c>
      <c r="J25" s="120">
        <v>2</v>
      </c>
      <c r="K25" s="120">
        <v>1032</v>
      </c>
      <c r="L25" s="116">
        <f t="shared" si="3"/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</row>
    <row r="26" spans="1:17" ht="15.75">
      <c r="A26" s="154">
        <v>16</v>
      </c>
      <c r="B26" s="155" t="s">
        <v>189</v>
      </c>
      <c r="C26" s="116">
        <f t="shared" si="1"/>
        <v>286</v>
      </c>
      <c r="D26" s="120">
        <v>286</v>
      </c>
      <c r="E26" s="120">
        <v>0</v>
      </c>
      <c r="F26" s="116">
        <f t="shared" si="2"/>
        <v>907</v>
      </c>
      <c r="G26" s="120">
        <v>905</v>
      </c>
      <c r="H26" s="120">
        <v>2</v>
      </c>
      <c r="I26" s="120">
        <v>0</v>
      </c>
      <c r="J26" s="120">
        <v>0</v>
      </c>
      <c r="K26" s="120">
        <v>907</v>
      </c>
      <c r="L26" s="116">
        <f t="shared" si="3"/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</row>
    <row r="27" spans="1:17" ht="15.75">
      <c r="A27" s="154">
        <v>17</v>
      </c>
      <c r="B27" s="155" t="s">
        <v>190</v>
      </c>
      <c r="C27" s="116">
        <f t="shared" si="1"/>
        <v>0</v>
      </c>
      <c r="D27" s="120">
        <v>0</v>
      </c>
      <c r="E27" s="120">
        <v>0</v>
      </c>
      <c r="F27" s="116">
        <f t="shared" si="2"/>
        <v>177</v>
      </c>
      <c r="G27" s="120">
        <v>114</v>
      </c>
      <c r="H27" s="120">
        <v>63</v>
      </c>
      <c r="I27" s="120">
        <v>0</v>
      </c>
      <c r="J27" s="120">
        <v>0</v>
      </c>
      <c r="K27" s="120">
        <v>177</v>
      </c>
      <c r="L27" s="116">
        <f t="shared" si="3"/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</row>
    <row r="28" spans="1:17" ht="15.75">
      <c r="A28" s="154">
        <v>18</v>
      </c>
      <c r="B28" s="155" t="s">
        <v>191</v>
      </c>
      <c r="C28" s="116">
        <f t="shared" si="1"/>
        <v>434</v>
      </c>
      <c r="D28" s="120">
        <v>434</v>
      </c>
      <c r="E28" s="120"/>
      <c r="F28" s="116">
        <f t="shared" si="2"/>
        <v>28</v>
      </c>
      <c r="G28" s="120">
        <v>28</v>
      </c>
      <c r="H28" s="120">
        <v>0</v>
      </c>
      <c r="I28" s="120">
        <v>0</v>
      </c>
      <c r="J28" s="120">
        <v>0</v>
      </c>
      <c r="K28" s="120">
        <v>28</v>
      </c>
      <c r="L28" s="116">
        <f t="shared" si="3"/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</row>
    <row r="29" spans="1:17" ht="15.75">
      <c r="A29" s="154">
        <v>19</v>
      </c>
      <c r="B29" s="157" t="s">
        <v>211</v>
      </c>
      <c r="C29" s="116">
        <f t="shared" si="1"/>
        <v>864</v>
      </c>
      <c r="D29" s="120">
        <v>864</v>
      </c>
      <c r="E29" s="120">
        <v>0</v>
      </c>
      <c r="F29" s="116">
        <f>G29+H29</f>
        <v>2383</v>
      </c>
      <c r="G29" s="120">
        <v>2000</v>
      </c>
      <c r="H29" s="120">
        <v>383</v>
      </c>
      <c r="I29" s="147" t="s">
        <v>290</v>
      </c>
      <c r="J29" s="120">
        <v>10</v>
      </c>
      <c r="K29" s="120">
        <v>2373</v>
      </c>
      <c r="L29" s="116" t="s">
        <v>290</v>
      </c>
      <c r="M29" s="142" t="s">
        <v>290</v>
      </c>
      <c r="N29" s="142" t="s">
        <v>290</v>
      </c>
      <c r="O29" s="142" t="s">
        <v>290</v>
      </c>
      <c r="P29" s="142" t="s">
        <v>290</v>
      </c>
      <c r="Q29" s="142" t="s">
        <v>290</v>
      </c>
    </row>
    <row r="30" spans="1:17" ht="15.75">
      <c r="A30" s="154">
        <v>20</v>
      </c>
      <c r="B30" s="157" t="s">
        <v>212</v>
      </c>
      <c r="C30" s="116">
        <f t="shared" si="1"/>
        <v>0</v>
      </c>
      <c r="D30" s="120">
        <v>0</v>
      </c>
      <c r="E30" s="120">
        <v>0</v>
      </c>
      <c r="F30" s="116">
        <f>G30+H30</f>
        <v>428</v>
      </c>
      <c r="G30" s="120">
        <v>418</v>
      </c>
      <c r="H30" s="120">
        <v>10</v>
      </c>
      <c r="I30" s="142" t="s">
        <v>290</v>
      </c>
      <c r="J30" s="142" t="s">
        <v>290</v>
      </c>
      <c r="K30" s="120">
        <v>428</v>
      </c>
      <c r="L30" s="116" t="s">
        <v>290</v>
      </c>
      <c r="M30" s="142" t="s">
        <v>290</v>
      </c>
      <c r="N30" s="142" t="s">
        <v>290</v>
      </c>
      <c r="O30" s="142" t="s">
        <v>290</v>
      </c>
      <c r="P30" s="142" t="s">
        <v>290</v>
      </c>
      <c r="Q30" s="142" t="s">
        <v>290</v>
      </c>
    </row>
    <row r="31" spans="1:17" ht="15.75">
      <c r="A31" s="154">
        <v>21</v>
      </c>
      <c r="B31" s="157" t="s">
        <v>213</v>
      </c>
      <c r="C31" s="116">
        <f t="shared" si="1"/>
        <v>165</v>
      </c>
      <c r="D31" s="120">
        <v>165</v>
      </c>
      <c r="E31" s="120">
        <v>0</v>
      </c>
      <c r="F31" s="116">
        <f t="shared" si="2"/>
        <v>242</v>
      </c>
      <c r="G31" s="120">
        <v>234</v>
      </c>
      <c r="H31" s="120">
        <v>8</v>
      </c>
      <c r="I31" s="120">
        <v>0</v>
      </c>
      <c r="J31" s="120">
        <v>0</v>
      </c>
      <c r="K31" s="120">
        <v>242</v>
      </c>
      <c r="L31" s="116">
        <f aca="true" t="shared" si="4" ref="L31:L45">M31+N31+O31</f>
        <v>1</v>
      </c>
      <c r="M31" s="120">
        <v>1</v>
      </c>
      <c r="N31" s="120">
        <v>0</v>
      </c>
      <c r="O31" s="120">
        <v>0</v>
      </c>
      <c r="P31" s="120">
        <v>0</v>
      </c>
      <c r="Q31" s="120">
        <v>1</v>
      </c>
    </row>
    <row r="32" spans="1:17" ht="15">
      <c r="A32" s="154">
        <v>22</v>
      </c>
      <c r="B32" s="157" t="s">
        <v>214</v>
      </c>
      <c r="C32" s="406" t="s">
        <v>297</v>
      </c>
      <c r="D32" s="407"/>
      <c r="E32" s="408"/>
      <c r="F32" s="406" t="s">
        <v>297</v>
      </c>
      <c r="G32" s="407"/>
      <c r="H32" s="407"/>
      <c r="I32" s="407"/>
      <c r="J32" s="407"/>
      <c r="K32" s="408"/>
      <c r="L32" s="406" t="s">
        <v>297</v>
      </c>
      <c r="M32" s="407"/>
      <c r="N32" s="407"/>
      <c r="O32" s="407"/>
      <c r="P32" s="407"/>
      <c r="Q32" s="408"/>
    </row>
    <row r="33" spans="1:17" ht="15.75">
      <c r="A33" s="154">
        <v>23</v>
      </c>
      <c r="B33" s="157" t="s">
        <v>215</v>
      </c>
      <c r="C33" s="116">
        <f t="shared" si="1"/>
        <v>71</v>
      </c>
      <c r="D33" s="120">
        <v>71</v>
      </c>
      <c r="E33" s="120">
        <v>0</v>
      </c>
      <c r="F33" s="116">
        <f t="shared" si="2"/>
        <v>260</v>
      </c>
      <c r="G33" s="120">
        <v>252</v>
      </c>
      <c r="H33" s="120">
        <v>8</v>
      </c>
      <c r="I33" s="120">
        <v>0</v>
      </c>
      <c r="J33" s="120">
        <v>0</v>
      </c>
      <c r="K33" s="120">
        <v>260</v>
      </c>
      <c r="L33" s="116">
        <f t="shared" si="4"/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</row>
    <row r="34" spans="1:17" ht="15.75">
      <c r="A34" s="156">
        <v>24</v>
      </c>
      <c r="B34" s="158" t="s">
        <v>216</v>
      </c>
      <c r="C34" s="116">
        <f>D34</f>
        <v>1000</v>
      </c>
      <c r="D34" s="120">
        <v>1000</v>
      </c>
      <c r="E34" s="147" t="s">
        <v>290</v>
      </c>
      <c r="F34" s="116">
        <f t="shared" si="2"/>
        <v>5336</v>
      </c>
      <c r="G34" s="120">
        <v>4586</v>
      </c>
      <c r="H34" s="120">
        <v>750</v>
      </c>
      <c r="I34" s="120">
        <v>0</v>
      </c>
      <c r="J34" s="120">
        <v>63</v>
      </c>
      <c r="K34" s="120">
        <v>5273</v>
      </c>
      <c r="L34" s="116">
        <v>5</v>
      </c>
      <c r="M34" s="147" t="s">
        <v>290</v>
      </c>
      <c r="N34" s="120">
        <v>0</v>
      </c>
      <c r="O34" s="120">
        <v>0</v>
      </c>
      <c r="P34" s="147" t="s">
        <v>290</v>
      </c>
      <c r="Q34" s="120">
        <v>5</v>
      </c>
    </row>
    <row r="35" spans="1:17" ht="15.75">
      <c r="A35" s="154">
        <v>25</v>
      </c>
      <c r="B35" s="157" t="s">
        <v>217</v>
      </c>
      <c r="C35" s="116">
        <f t="shared" si="1"/>
        <v>499</v>
      </c>
      <c r="D35" s="120">
        <v>499</v>
      </c>
      <c r="E35" s="120">
        <v>0</v>
      </c>
      <c r="F35" s="116">
        <f t="shared" si="2"/>
        <v>2592</v>
      </c>
      <c r="G35" s="120">
        <v>2550</v>
      </c>
      <c r="H35" s="120">
        <v>42</v>
      </c>
      <c r="I35" s="120">
        <v>0</v>
      </c>
      <c r="J35" s="120">
        <v>1</v>
      </c>
      <c r="K35" s="120">
        <v>2591</v>
      </c>
      <c r="L35" s="116">
        <f t="shared" si="4"/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</row>
    <row r="36" spans="1:17" ht="15.75">
      <c r="A36" s="154">
        <v>26</v>
      </c>
      <c r="B36" s="157" t="s">
        <v>218</v>
      </c>
      <c r="C36" s="116">
        <f t="shared" si="1"/>
        <v>538</v>
      </c>
      <c r="D36" s="120">
        <v>538</v>
      </c>
      <c r="E36" s="120">
        <v>0</v>
      </c>
      <c r="F36" s="116">
        <f t="shared" si="2"/>
        <v>1618</v>
      </c>
      <c r="G36" s="120">
        <v>1381</v>
      </c>
      <c r="H36" s="120">
        <v>237</v>
      </c>
      <c r="I36" s="120">
        <v>0</v>
      </c>
      <c r="J36" s="120">
        <v>0</v>
      </c>
      <c r="K36" s="120">
        <v>1618</v>
      </c>
      <c r="L36" s="116">
        <f t="shared" si="4"/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</row>
    <row r="37" spans="1:17" ht="15.75">
      <c r="A37" s="154">
        <v>27</v>
      </c>
      <c r="B37" s="157" t="s">
        <v>219</v>
      </c>
      <c r="C37" s="116">
        <f t="shared" si="1"/>
        <v>450</v>
      </c>
      <c r="D37" s="120">
        <v>450</v>
      </c>
      <c r="E37" s="120">
        <v>0</v>
      </c>
      <c r="F37" s="116">
        <f t="shared" si="2"/>
        <v>2068</v>
      </c>
      <c r="G37" s="120">
        <v>1630</v>
      </c>
      <c r="H37" s="120">
        <v>438</v>
      </c>
      <c r="I37" s="120">
        <v>0</v>
      </c>
      <c r="J37" s="120">
        <v>1</v>
      </c>
      <c r="K37" s="120">
        <v>2067</v>
      </c>
      <c r="L37" s="116">
        <f t="shared" si="4"/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</row>
    <row r="38" spans="1:17" ht="15.75">
      <c r="A38" s="154">
        <v>28</v>
      </c>
      <c r="B38" s="157" t="s">
        <v>220</v>
      </c>
      <c r="C38" s="116">
        <f t="shared" si="1"/>
        <v>800</v>
      </c>
      <c r="D38" s="163">
        <v>800</v>
      </c>
      <c r="E38" s="163">
        <v>0</v>
      </c>
      <c r="F38" s="116">
        <f t="shared" si="2"/>
        <v>800</v>
      </c>
      <c r="G38" s="163">
        <v>800</v>
      </c>
      <c r="H38" s="163">
        <v>0</v>
      </c>
      <c r="I38" s="120">
        <v>0</v>
      </c>
      <c r="J38" s="120">
        <v>0</v>
      </c>
      <c r="K38" s="120">
        <v>800</v>
      </c>
      <c r="L38" s="116">
        <f t="shared" si="4"/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</row>
    <row r="39" spans="1:17" ht="15.75">
      <c r="A39" s="154">
        <v>29</v>
      </c>
      <c r="B39" s="157" t="s">
        <v>221</v>
      </c>
      <c r="C39" s="116">
        <f t="shared" si="1"/>
        <v>0</v>
      </c>
      <c r="D39" s="120">
        <v>0</v>
      </c>
      <c r="E39" s="120">
        <v>0</v>
      </c>
      <c r="F39" s="116">
        <f t="shared" si="2"/>
        <v>149</v>
      </c>
      <c r="G39" s="120">
        <v>133</v>
      </c>
      <c r="H39" s="120">
        <v>16</v>
      </c>
      <c r="I39" s="120">
        <v>0</v>
      </c>
      <c r="J39" s="120">
        <v>0</v>
      </c>
      <c r="K39" s="120">
        <v>149</v>
      </c>
      <c r="L39" s="116">
        <f t="shared" si="4"/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</row>
    <row r="40" spans="1:17" ht="15.75">
      <c r="A40" s="154">
        <v>30</v>
      </c>
      <c r="B40" s="157" t="s">
        <v>222</v>
      </c>
      <c r="C40" s="116">
        <f t="shared" si="1"/>
        <v>628</v>
      </c>
      <c r="D40" s="120">
        <v>628</v>
      </c>
      <c r="E40" s="120">
        <v>0</v>
      </c>
      <c r="F40" s="116">
        <f t="shared" si="2"/>
        <v>468</v>
      </c>
      <c r="G40" s="143">
        <v>421</v>
      </c>
      <c r="H40" s="143">
        <v>47</v>
      </c>
      <c r="I40" s="143">
        <v>0</v>
      </c>
      <c r="J40" s="143">
        <v>1</v>
      </c>
      <c r="K40" s="120">
        <v>467</v>
      </c>
      <c r="L40" s="116">
        <f t="shared" si="4"/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</row>
    <row r="41" spans="1:17" ht="15.75">
      <c r="A41" s="154">
        <v>31</v>
      </c>
      <c r="B41" s="157" t="s">
        <v>223</v>
      </c>
      <c r="C41" s="116">
        <f t="shared" si="1"/>
        <v>1093</v>
      </c>
      <c r="D41" s="163">
        <v>1043</v>
      </c>
      <c r="E41" s="163">
        <v>50</v>
      </c>
      <c r="F41" s="116">
        <f t="shared" si="2"/>
        <v>1093</v>
      </c>
      <c r="G41" s="163">
        <v>1043</v>
      </c>
      <c r="H41" s="163">
        <v>50</v>
      </c>
      <c r="I41" s="120">
        <v>0</v>
      </c>
      <c r="J41" s="120">
        <v>0</v>
      </c>
      <c r="K41" s="120">
        <v>1093</v>
      </c>
      <c r="L41" s="116">
        <f t="shared" si="4"/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</row>
    <row r="42" spans="1:17" ht="15.75">
      <c r="A42" s="154">
        <v>32</v>
      </c>
      <c r="B42" s="157" t="s">
        <v>224</v>
      </c>
      <c r="C42" s="116">
        <f t="shared" si="1"/>
        <v>1306</v>
      </c>
      <c r="D42" s="120">
        <v>1306</v>
      </c>
      <c r="E42" s="120">
        <v>0</v>
      </c>
      <c r="F42" s="116">
        <f t="shared" si="2"/>
        <v>994</v>
      </c>
      <c r="G42" s="120">
        <v>980</v>
      </c>
      <c r="H42" s="120">
        <v>14</v>
      </c>
      <c r="I42" s="120">
        <v>0</v>
      </c>
      <c r="J42" s="120">
        <v>0</v>
      </c>
      <c r="K42" s="120">
        <v>994</v>
      </c>
      <c r="L42" s="116">
        <f t="shared" si="4"/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</row>
    <row r="43" spans="1:17" ht="15.75">
      <c r="A43" s="154">
        <v>33</v>
      </c>
      <c r="B43" s="157" t="s">
        <v>225</v>
      </c>
      <c r="C43" s="116">
        <f t="shared" si="1"/>
        <v>165</v>
      </c>
      <c r="D43" s="120">
        <v>165</v>
      </c>
      <c r="E43" s="120">
        <v>0</v>
      </c>
      <c r="F43" s="116">
        <f t="shared" si="2"/>
        <v>70</v>
      </c>
      <c r="G43" s="120">
        <v>69</v>
      </c>
      <c r="H43" s="120">
        <v>1</v>
      </c>
      <c r="I43" s="120">
        <v>0</v>
      </c>
      <c r="J43" s="120">
        <v>0</v>
      </c>
      <c r="K43" s="120">
        <v>70</v>
      </c>
      <c r="L43" s="116">
        <f t="shared" si="4"/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</row>
    <row r="44" spans="1:17" ht="15.75">
      <c r="A44" s="154">
        <v>34</v>
      </c>
      <c r="B44" s="157" t="s">
        <v>226</v>
      </c>
      <c r="C44" s="116">
        <f>D44</f>
        <v>83</v>
      </c>
      <c r="D44" s="120">
        <v>83</v>
      </c>
      <c r="E44" s="147" t="s">
        <v>290</v>
      </c>
      <c r="F44" s="116">
        <f t="shared" si="2"/>
        <v>36</v>
      </c>
      <c r="G44" s="120">
        <v>36</v>
      </c>
      <c r="H44" s="120">
        <v>0</v>
      </c>
      <c r="I44" s="120">
        <v>0</v>
      </c>
      <c r="J44" s="120">
        <v>0</v>
      </c>
      <c r="K44" s="120">
        <v>36</v>
      </c>
      <c r="L44" s="116" t="s">
        <v>290</v>
      </c>
      <c r="M44" s="142" t="s">
        <v>290</v>
      </c>
      <c r="N44" s="142" t="s">
        <v>290</v>
      </c>
      <c r="O44" s="142" t="s">
        <v>290</v>
      </c>
      <c r="P44" s="142" t="s">
        <v>290</v>
      </c>
      <c r="Q44" s="142" t="s">
        <v>290</v>
      </c>
    </row>
    <row r="45" spans="1:17" ht="15.75">
      <c r="A45" s="154">
        <v>35</v>
      </c>
      <c r="B45" s="157" t="s">
        <v>227</v>
      </c>
      <c r="C45" s="116">
        <f t="shared" si="1"/>
        <v>211</v>
      </c>
      <c r="D45" s="120">
        <v>211</v>
      </c>
      <c r="E45" s="120">
        <v>0</v>
      </c>
      <c r="F45" s="116">
        <f t="shared" si="2"/>
        <v>1292</v>
      </c>
      <c r="G45" s="120">
        <v>1229</v>
      </c>
      <c r="H45" s="120">
        <v>63</v>
      </c>
      <c r="I45" s="120">
        <v>0</v>
      </c>
      <c r="J45" s="120">
        <v>1</v>
      </c>
      <c r="K45" s="120">
        <v>1291</v>
      </c>
      <c r="L45" s="116">
        <f t="shared" si="4"/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</row>
    <row r="46" spans="1:17" ht="15.75">
      <c r="A46" s="154">
        <v>36</v>
      </c>
      <c r="B46" s="159" t="s">
        <v>229</v>
      </c>
      <c r="C46" s="116">
        <f t="shared" si="1"/>
        <v>544</v>
      </c>
      <c r="D46" s="141">
        <v>544</v>
      </c>
      <c r="E46" s="141">
        <v>0</v>
      </c>
      <c r="F46" s="116">
        <f t="shared" si="2"/>
        <v>121</v>
      </c>
      <c r="G46" s="141">
        <v>103</v>
      </c>
      <c r="H46" s="141">
        <v>18</v>
      </c>
      <c r="I46" s="141">
        <v>0</v>
      </c>
      <c r="J46" s="141">
        <v>0</v>
      </c>
      <c r="K46" s="120">
        <v>121</v>
      </c>
      <c r="L46" s="116">
        <f>M46+N46+O46</f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</row>
    <row r="47" spans="1:17" ht="15.75">
      <c r="A47" s="154">
        <v>37</v>
      </c>
      <c r="B47" s="159" t="s">
        <v>230</v>
      </c>
      <c r="C47" s="116">
        <f t="shared" si="1"/>
        <v>97</v>
      </c>
      <c r="D47" s="141">
        <v>97</v>
      </c>
      <c r="E47" s="141">
        <v>0</v>
      </c>
      <c r="F47" s="116">
        <f t="shared" si="2"/>
        <v>328</v>
      </c>
      <c r="G47" s="141">
        <v>232</v>
      </c>
      <c r="H47" s="141">
        <v>96</v>
      </c>
      <c r="I47" s="141">
        <v>0</v>
      </c>
      <c r="J47" s="141">
        <v>0</v>
      </c>
      <c r="K47" s="120">
        <v>328</v>
      </c>
      <c r="L47" s="116">
        <f aca="true" t="shared" si="5" ref="L47:L53">M47+N47+O47</f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</row>
    <row r="48" spans="1:17" ht="15.75">
      <c r="A48" s="154">
        <v>38</v>
      </c>
      <c r="B48" s="159" t="s">
        <v>231</v>
      </c>
      <c r="C48" s="116">
        <f t="shared" si="1"/>
        <v>1286</v>
      </c>
      <c r="D48" s="141">
        <v>1286</v>
      </c>
      <c r="E48" s="141">
        <v>0</v>
      </c>
      <c r="F48" s="116">
        <f t="shared" si="2"/>
        <v>673</v>
      </c>
      <c r="G48" s="141">
        <v>505</v>
      </c>
      <c r="H48" s="141">
        <v>168</v>
      </c>
      <c r="I48" s="141">
        <v>0</v>
      </c>
      <c r="J48" s="141">
        <v>1</v>
      </c>
      <c r="K48" s="120">
        <v>672</v>
      </c>
      <c r="L48" s="116">
        <f t="shared" si="5"/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</row>
    <row r="49" spans="1:17" ht="15.75">
      <c r="A49" s="154">
        <v>39</v>
      </c>
      <c r="B49" s="159" t="s">
        <v>232</v>
      </c>
      <c r="C49" s="116">
        <f t="shared" si="1"/>
        <v>531</v>
      </c>
      <c r="D49" s="141">
        <v>531</v>
      </c>
      <c r="E49" s="141">
        <v>0</v>
      </c>
      <c r="F49" s="116">
        <f t="shared" si="2"/>
        <v>756</v>
      </c>
      <c r="G49" s="141">
        <v>741</v>
      </c>
      <c r="H49" s="141">
        <v>15</v>
      </c>
      <c r="I49" s="141">
        <v>0</v>
      </c>
      <c r="J49" s="141">
        <v>6</v>
      </c>
      <c r="K49" s="120">
        <v>750</v>
      </c>
      <c r="L49" s="116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</row>
    <row r="50" spans="1:17" ht="15.75">
      <c r="A50" s="154">
        <v>40</v>
      </c>
      <c r="B50" s="159" t="s">
        <v>233</v>
      </c>
      <c r="C50" s="116">
        <f t="shared" si="1"/>
        <v>37</v>
      </c>
      <c r="D50" s="141">
        <v>37</v>
      </c>
      <c r="E50" s="141">
        <v>0</v>
      </c>
      <c r="F50" s="116">
        <f t="shared" si="2"/>
        <v>3251</v>
      </c>
      <c r="G50" s="141">
        <v>3247</v>
      </c>
      <c r="H50" s="141">
        <v>4</v>
      </c>
      <c r="I50" s="141">
        <v>0</v>
      </c>
      <c r="J50" s="141">
        <v>0</v>
      </c>
      <c r="K50" s="120">
        <v>0</v>
      </c>
      <c r="L50" s="116">
        <f t="shared" si="5"/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</row>
    <row r="51" spans="1:17" ht="15.75">
      <c r="A51" s="154">
        <v>41</v>
      </c>
      <c r="B51" s="159" t="s">
        <v>234</v>
      </c>
      <c r="C51" s="116">
        <f t="shared" si="1"/>
        <v>30</v>
      </c>
      <c r="D51" s="141">
        <v>30</v>
      </c>
      <c r="E51" s="141">
        <v>0</v>
      </c>
      <c r="F51" s="116">
        <f t="shared" si="2"/>
        <v>717</v>
      </c>
      <c r="G51" s="141">
        <v>411</v>
      </c>
      <c r="H51" s="141">
        <v>306</v>
      </c>
      <c r="I51" s="141">
        <v>0</v>
      </c>
      <c r="J51" s="141">
        <v>0</v>
      </c>
      <c r="K51" s="120">
        <v>717</v>
      </c>
      <c r="L51" s="116">
        <f t="shared" si="5"/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</row>
    <row r="52" spans="1:17" ht="15.75">
      <c r="A52" s="154">
        <v>42</v>
      </c>
      <c r="B52" s="159" t="s">
        <v>235</v>
      </c>
      <c r="C52" s="116">
        <f t="shared" si="1"/>
        <v>0</v>
      </c>
      <c r="D52" s="141">
        <v>0</v>
      </c>
      <c r="E52" s="141">
        <v>0</v>
      </c>
      <c r="F52" s="116">
        <f t="shared" si="2"/>
        <v>330</v>
      </c>
      <c r="G52" s="141">
        <v>324</v>
      </c>
      <c r="H52" s="141">
        <v>6</v>
      </c>
      <c r="I52" s="141">
        <v>0</v>
      </c>
      <c r="J52" s="141">
        <v>0</v>
      </c>
      <c r="K52" s="120">
        <v>330</v>
      </c>
      <c r="L52" s="116">
        <f t="shared" si="5"/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</row>
    <row r="53" spans="1:17" ht="15.75">
      <c r="A53" s="154">
        <v>43</v>
      </c>
      <c r="B53" s="159" t="s">
        <v>236</v>
      </c>
      <c r="C53" s="116">
        <f t="shared" si="1"/>
        <v>203</v>
      </c>
      <c r="D53" s="141">
        <v>203</v>
      </c>
      <c r="E53" s="141">
        <v>0</v>
      </c>
      <c r="F53" s="116">
        <f t="shared" si="2"/>
        <v>628</v>
      </c>
      <c r="G53" s="141">
        <v>616</v>
      </c>
      <c r="H53" s="141">
        <v>12</v>
      </c>
      <c r="I53" s="141">
        <v>0</v>
      </c>
      <c r="J53" s="141">
        <v>0</v>
      </c>
      <c r="K53" s="120">
        <v>0</v>
      </c>
      <c r="L53" s="116">
        <f t="shared" si="5"/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</row>
    <row r="54" spans="1:17" ht="15.75">
      <c r="A54" s="154">
        <v>44</v>
      </c>
      <c r="B54" s="159" t="s">
        <v>237</v>
      </c>
      <c r="C54" s="116">
        <f t="shared" si="1"/>
        <v>4</v>
      </c>
      <c r="D54" s="141">
        <v>4</v>
      </c>
      <c r="E54" s="141">
        <v>0</v>
      </c>
      <c r="F54" s="116">
        <f t="shared" si="2"/>
        <v>340</v>
      </c>
      <c r="G54" s="141">
        <v>332</v>
      </c>
      <c r="H54" s="141">
        <v>8</v>
      </c>
      <c r="I54" s="141">
        <v>0</v>
      </c>
      <c r="J54" s="141">
        <v>0</v>
      </c>
      <c r="K54" s="120">
        <v>340</v>
      </c>
      <c r="L54" s="116">
        <v>1</v>
      </c>
      <c r="M54" s="120">
        <v>1</v>
      </c>
      <c r="N54" s="120">
        <v>0</v>
      </c>
      <c r="O54" s="120">
        <v>0</v>
      </c>
      <c r="P54" s="120">
        <v>0</v>
      </c>
      <c r="Q54" s="120">
        <v>1</v>
      </c>
    </row>
    <row r="55" spans="1:17" s="128" customFormat="1" ht="15.75">
      <c r="A55" s="154">
        <v>45</v>
      </c>
      <c r="B55" s="160" t="s">
        <v>243</v>
      </c>
      <c r="C55" s="116">
        <f t="shared" si="1"/>
        <v>38</v>
      </c>
      <c r="D55" s="120">
        <v>38</v>
      </c>
      <c r="E55" s="120">
        <v>0</v>
      </c>
      <c r="F55" s="116">
        <f t="shared" si="2"/>
        <v>935</v>
      </c>
      <c r="G55" s="120">
        <v>924</v>
      </c>
      <c r="H55" s="120">
        <v>11</v>
      </c>
      <c r="I55" s="120">
        <v>0</v>
      </c>
      <c r="J55" s="120">
        <v>0</v>
      </c>
      <c r="K55" s="120">
        <v>935</v>
      </c>
      <c r="L55" s="116">
        <f>M55+N55+O55</f>
        <v>0</v>
      </c>
      <c r="M55" s="120">
        <v>0</v>
      </c>
      <c r="N55" s="120">
        <v>0</v>
      </c>
      <c r="O55" s="120">
        <v>0</v>
      </c>
      <c r="P55" s="120">
        <v>0</v>
      </c>
      <c r="Q55" s="120">
        <v>0</v>
      </c>
    </row>
    <row r="56" spans="1:17" s="129" customFormat="1" ht="15.75">
      <c r="A56" s="154">
        <v>46</v>
      </c>
      <c r="B56" s="160" t="s">
        <v>244</v>
      </c>
      <c r="C56" s="116">
        <f t="shared" si="1"/>
        <v>15</v>
      </c>
      <c r="D56" s="120">
        <v>15</v>
      </c>
      <c r="E56" s="120">
        <v>0</v>
      </c>
      <c r="F56" s="116">
        <f t="shared" si="2"/>
        <v>375</v>
      </c>
      <c r="G56" s="120">
        <v>354</v>
      </c>
      <c r="H56" s="120">
        <v>21</v>
      </c>
      <c r="I56" s="120">
        <v>0</v>
      </c>
      <c r="J56" s="120">
        <v>1</v>
      </c>
      <c r="K56" s="120">
        <v>374</v>
      </c>
      <c r="L56" s="116">
        <f aca="true" t="shared" si="6" ref="L56:L73">M56+N56+O56</f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</row>
    <row r="57" spans="1:17" s="129" customFormat="1" ht="15.75">
      <c r="A57" s="154">
        <v>47</v>
      </c>
      <c r="B57" s="160" t="s">
        <v>245</v>
      </c>
      <c r="C57" s="116">
        <f t="shared" si="1"/>
        <v>177</v>
      </c>
      <c r="D57" s="120">
        <v>177</v>
      </c>
      <c r="E57" s="120">
        <v>0</v>
      </c>
      <c r="F57" s="116">
        <f t="shared" si="2"/>
        <v>339</v>
      </c>
      <c r="G57" s="120">
        <v>339</v>
      </c>
      <c r="H57" s="120">
        <v>0</v>
      </c>
      <c r="I57" s="120">
        <v>0</v>
      </c>
      <c r="J57" s="120">
        <v>0</v>
      </c>
      <c r="K57" s="120">
        <v>339</v>
      </c>
      <c r="L57" s="116">
        <f t="shared" si="6"/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</row>
    <row r="58" spans="1:17" s="129" customFormat="1" ht="15.75">
      <c r="A58" s="154">
        <v>48</v>
      </c>
      <c r="B58" s="160" t="s">
        <v>246</v>
      </c>
      <c r="C58" s="116">
        <f t="shared" si="1"/>
        <v>496</v>
      </c>
      <c r="D58" s="120">
        <v>496</v>
      </c>
      <c r="E58" s="120">
        <v>0</v>
      </c>
      <c r="F58" s="116">
        <f t="shared" si="2"/>
        <v>1109</v>
      </c>
      <c r="G58" s="120">
        <v>764</v>
      </c>
      <c r="H58" s="120">
        <v>345</v>
      </c>
      <c r="I58" s="120">
        <v>0</v>
      </c>
      <c r="J58" s="120">
        <v>2</v>
      </c>
      <c r="K58" s="120">
        <v>1107</v>
      </c>
      <c r="L58" s="116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</row>
    <row r="59" spans="1:17" s="129" customFormat="1" ht="15.75">
      <c r="A59" s="154">
        <v>49</v>
      </c>
      <c r="B59" s="160" t="s">
        <v>247</v>
      </c>
      <c r="C59" s="116">
        <f t="shared" si="1"/>
        <v>307</v>
      </c>
      <c r="D59" s="120">
        <v>307</v>
      </c>
      <c r="E59" s="120">
        <v>0</v>
      </c>
      <c r="F59" s="116">
        <f t="shared" si="2"/>
        <v>183</v>
      </c>
      <c r="G59" s="120">
        <v>183</v>
      </c>
      <c r="H59" s="120">
        <v>0</v>
      </c>
      <c r="I59" s="120">
        <v>0</v>
      </c>
      <c r="J59" s="120">
        <v>0</v>
      </c>
      <c r="K59" s="120">
        <v>183</v>
      </c>
      <c r="L59" s="116">
        <f t="shared" si="6"/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</row>
    <row r="60" spans="1:17" s="129" customFormat="1" ht="15.75">
      <c r="A60" s="154">
        <v>50</v>
      </c>
      <c r="B60" s="160" t="s">
        <v>248</v>
      </c>
      <c r="C60" s="116">
        <f t="shared" si="1"/>
        <v>12</v>
      </c>
      <c r="D60" s="120">
        <v>12</v>
      </c>
      <c r="E60" s="120">
        <v>0</v>
      </c>
      <c r="F60" s="116">
        <f t="shared" si="2"/>
        <v>608</v>
      </c>
      <c r="G60" s="120">
        <v>607</v>
      </c>
      <c r="H60" s="120">
        <v>1</v>
      </c>
      <c r="I60" s="120">
        <v>0</v>
      </c>
      <c r="J60" s="120">
        <v>1</v>
      </c>
      <c r="K60" s="120">
        <v>608</v>
      </c>
      <c r="L60" s="116">
        <f t="shared" si="6"/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</row>
    <row r="61" spans="1:17" s="129" customFormat="1" ht="15.75">
      <c r="A61" s="154">
        <v>51</v>
      </c>
      <c r="B61" s="161" t="s">
        <v>249</v>
      </c>
      <c r="C61" s="116">
        <f t="shared" si="1"/>
        <v>87</v>
      </c>
      <c r="D61" s="120">
        <v>87</v>
      </c>
      <c r="E61" s="120">
        <v>0</v>
      </c>
      <c r="F61" s="116">
        <f t="shared" si="2"/>
        <v>67</v>
      </c>
      <c r="G61" s="120">
        <v>64</v>
      </c>
      <c r="H61" s="120">
        <v>3</v>
      </c>
      <c r="I61" s="120">
        <v>0</v>
      </c>
      <c r="J61" s="120">
        <v>0</v>
      </c>
      <c r="K61" s="120">
        <v>67</v>
      </c>
      <c r="L61" s="116">
        <f t="shared" si="6"/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</row>
    <row r="62" spans="1:17" s="128" customFormat="1" ht="15.75">
      <c r="A62" s="154">
        <v>52</v>
      </c>
      <c r="B62" s="161" t="s">
        <v>250</v>
      </c>
      <c r="C62" s="116">
        <f t="shared" si="1"/>
        <v>466</v>
      </c>
      <c r="D62" s="120">
        <v>463</v>
      </c>
      <c r="E62" s="120">
        <v>3</v>
      </c>
      <c r="F62" s="116">
        <f t="shared" si="2"/>
        <v>608</v>
      </c>
      <c r="G62" s="120">
        <v>537</v>
      </c>
      <c r="H62" s="120">
        <v>71</v>
      </c>
      <c r="I62" s="120">
        <v>0</v>
      </c>
      <c r="J62" s="120">
        <v>0</v>
      </c>
      <c r="K62" s="120">
        <v>608</v>
      </c>
      <c r="L62" s="116">
        <f t="shared" si="6"/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</row>
    <row r="63" spans="1:17" s="129" customFormat="1" ht="15.75">
      <c r="A63" s="154">
        <v>53</v>
      </c>
      <c r="B63" s="161" t="s">
        <v>251</v>
      </c>
      <c r="C63" s="116">
        <f t="shared" si="1"/>
        <v>679</v>
      </c>
      <c r="D63" s="163">
        <v>621</v>
      </c>
      <c r="E63" s="163">
        <v>58</v>
      </c>
      <c r="F63" s="116">
        <f t="shared" si="2"/>
        <v>679</v>
      </c>
      <c r="G63" s="163">
        <v>621</v>
      </c>
      <c r="H63" s="163">
        <v>58</v>
      </c>
      <c r="I63" s="120">
        <v>0</v>
      </c>
      <c r="J63" s="120">
        <v>0</v>
      </c>
      <c r="K63" s="120">
        <v>679</v>
      </c>
      <c r="L63" s="116">
        <f t="shared" si="6"/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</row>
    <row r="64" spans="1:17" s="128" customFormat="1" ht="15.75">
      <c r="A64" s="154">
        <v>54</v>
      </c>
      <c r="B64" s="161" t="s">
        <v>252</v>
      </c>
      <c r="C64" s="116">
        <f t="shared" si="1"/>
        <v>61</v>
      </c>
      <c r="D64" s="120">
        <v>61</v>
      </c>
      <c r="E64" s="120">
        <v>0</v>
      </c>
      <c r="F64" s="116">
        <f t="shared" si="2"/>
        <v>394</v>
      </c>
      <c r="G64" s="120">
        <v>394</v>
      </c>
      <c r="H64" s="120">
        <v>0</v>
      </c>
      <c r="I64" s="120">
        <v>0</v>
      </c>
      <c r="J64" s="120">
        <v>0</v>
      </c>
      <c r="K64" s="120">
        <v>394</v>
      </c>
      <c r="L64" s="116">
        <f t="shared" si="6"/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</row>
    <row r="65" spans="1:17" s="129" customFormat="1" ht="15.75">
      <c r="A65" s="154">
        <v>55</v>
      </c>
      <c r="B65" s="161" t="s">
        <v>253</v>
      </c>
      <c r="C65" s="116">
        <f t="shared" si="1"/>
        <v>7306</v>
      </c>
      <c r="D65" s="120">
        <v>7306</v>
      </c>
      <c r="E65" s="120">
        <v>0</v>
      </c>
      <c r="F65" s="116">
        <f t="shared" si="2"/>
        <v>784</v>
      </c>
      <c r="G65" s="120">
        <v>758</v>
      </c>
      <c r="H65" s="120">
        <v>26</v>
      </c>
      <c r="I65" s="120">
        <v>0</v>
      </c>
      <c r="J65" s="120">
        <v>1</v>
      </c>
      <c r="K65" s="120">
        <v>783</v>
      </c>
      <c r="L65" s="116">
        <f t="shared" si="6"/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</row>
    <row r="66" spans="1:17" s="128" customFormat="1" ht="15.75">
      <c r="A66" s="154">
        <v>56</v>
      </c>
      <c r="B66" s="161" t="s">
        <v>254</v>
      </c>
      <c r="C66" s="116">
        <f t="shared" si="1"/>
        <v>148</v>
      </c>
      <c r="D66" s="120">
        <v>148</v>
      </c>
      <c r="E66" s="120">
        <v>0</v>
      </c>
      <c r="F66" s="116">
        <f t="shared" si="2"/>
        <v>1110</v>
      </c>
      <c r="G66" s="120">
        <v>1104</v>
      </c>
      <c r="H66" s="120">
        <v>6</v>
      </c>
      <c r="I66" s="120">
        <v>0</v>
      </c>
      <c r="J66" s="120">
        <v>8</v>
      </c>
      <c r="K66" s="120">
        <v>1102</v>
      </c>
      <c r="L66" s="116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</row>
    <row r="67" spans="1:17" s="129" customFormat="1" ht="15.75">
      <c r="A67" s="154">
        <v>57</v>
      </c>
      <c r="B67" s="161" t="s">
        <v>255</v>
      </c>
      <c r="C67" s="116">
        <f t="shared" si="1"/>
        <v>20</v>
      </c>
      <c r="D67" s="120">
        <v>20</v>
      </c>
      <c r="E67" s="120">
        <v>0</v>
      </c>
      <c r="F67" s="116">
        <f t="shared" si="2"/>
        <v>1020</v>
      </c>
      <c r="G67" s="120">
        <v>1012</v>
      </c>
      <c r="H67" s="120">
        <v>8</v>
      </c>
      <c r="I67" s="120">
        <v>0</v>
      </c>
      <c r="J67" s="120">
        <v>0</v>
      </c>
      <c r="K67" s="120">
        <v>1020</v>
      </c>
      <c r="L67" s="116">
        <f t="shared" si="6"/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</row>
    <row r="68" spans="1:17" s="128" customFormat="1" ht="15.75">
      <c r="A68" s="154">
        <v>58</v>
      </c>
      <c r="B68" s="161" t="s">
        <v>256</v>
      </c>
      <c r="C68" s="116">
        <f t="shared" si="1"/>
        <v>14712</v>
      </c>
      <c r="D68" s="163">
        <v>13292</v>
      </c>
      <c r="E68" s="163">
        <v>1420</v>
      </c>
      <c r="F68" s="116">
        <f t="shared" si="2"/>
        <v>14712</v>
      </c>
      <c r="G68" s="163">
        <v>13292</v>
      </c>
      <c r="H68" s="163">
        <v>1420</v>
      </c>
      <c r="I68" s="120">
        <v>0</v>
      </c>
      <c r="J68" s="120">
        <v>67</v>
      </c>
      <c r="K68" s="120">
        <v>14645</v>
      </c>
      <c r="L68" s="116">
        <f t="shared" si="6"/>
        <v>1</v>
      </c>
      <c r="M68" s="120">
        <v>1</v>
      </c>
      <c r="N68" s="120">
        <v>0</v>
      </c>
      <c r="O68" s="120">
        <v>0</v>
      </c>
      <c r="P68" s="120">
        <v>0</v>
      </c>
      <c r="Q68" s="120">
        <v>0</v>
      </c>
    </row>
    <row r="69" spans="1:17" s="129" customFormat="1" ht="15.75">
      <c r="A69" s="154">
        <v>59</v>
      </c>
      <c r="B69" s="161" t="s">
        <v>257</v>
      </c>
      <c r="C69" s="116">
        <f t="shared" si="1"/>
        <v>40</v>
      </c>
      <c r="D69" s="120">
        <v>40</v>
      </c>
      <c r="E69" s="120">
        <v>0</v>
      </c>
      <c r="F69" s="116">
        <f t="shared" si="2"/>
        <v>1257</v>
      </c>
      <c r="G69" s="120">
        <v>1188</v>
      </c>
      <c r="H69" s="120">
        <v>69</v>
      </c>
      <c r="I69" s="120">
        <v>0</v>
      </c>
      <c r="J69" s="120">
        <v>1</v>
      </c>
      <c r="K69" s="120">
        <v>1256</v>
      </c>
      <c r="L69" s="116">
        <f t="shared" si="6"/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</row>
    <row r="70" spans="1:17" s="129" customFormat="1" ht="15.75">
      <c r="A70" s="154">
        <v>60</v>
      </c>
      <c r="B70" s="161" t="s">
        <v>258</v>
      </c>
      <c r="C70" s="116">
        <f t="shared" si="1"/>
        <v>81</v>
      </c>
      <c r="D70" s="163">
        <v>81</v>
      </c>
      <c r="E70" s="163">
        <v>0</v>
      </c>
      <c r="F70" s="116">
        <f t="shared" si="2"/>
        <v>81</v>
      </c>
      <c r="G70" s="163">
        <v>81</v>
      </c>
      <c r="H70" s="163">
        <v>0</v>
      </c>
      <c r="I70" s="120">
        <v>0</v>
      </c>
      <c r="J70" s="120">
        <v>0</v>
      </c>
      <c r="K70" s="120">
        <v>81</v>
      </c>
      <c r="L70" s="116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</row>
    <row r="71" spans="1:17" s="129" customFormat="1" ht="15.75">
      <c r="A71" s="154">
        <v>61</v>
      </c>
      <c r="B71" s="161" t="s">
        <v>259</v>
      </c>
      <c r="C71" s="116">
        <f t="shared" si="1"/>
        <v>1239</v>
      </c>
      <c r="D71" s="120">
        <v>1237</v>
      </c>
      <c r="E71" s="120">
        <v>2</v>
      </c>
      <c r="F71" s="116">
        <f t="shared" si="2"/>
        <v>1239</v>
      </c>
      <c r="G71" s="120">
        <v>1223</v>
      </c>
      <c r="H71" s="120">
        <v>16</v>
      </c>
      <c r="I71" s="120">
        <v>0</v>
      </c>
      <c r="J71" s="120">
        <v>1</v>
      </c>
      <c r="K71" s="120">
        <v>1238</v>
      </c>
      <c r="L71" s="116">
        <f t="shared" si="6"/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</row>
    <row r="72" spans="1:17" s="129" customFormat="1" ht="15.75">
      <c r="A72" s="154">
        <v>62</v>
      </c>
      <c r="B72" s="161" t="s">
        <v>260</v>
      </c>
      <c r="C72" s="116">
        <f t="shared" si="1"/>
        <v>1240</v>
      </c>
      <c r="D72" s="120">
        <v>1240</v>
      </c>
      <c r="E72" s="120">
        <v>0</v>
      </c>
      <c r="F72" s="116">
        <f t="shared" si="2"/>
        <v>397</v>
      </c>
      <c r="G72" s="120">
        <v>341</v>
      </c>
      <c r="H72" s="120">
        <v>56</v>
      </c>
      <c r="I72" s="120">
        <v>0</v>
      </c>
      <c r="J72" s="120">
        <v>0</v>
      </c>
      <c r="K72" s="120">
        <v>397</v>
      </c>
      <c r="L72" s="116">
        <v>1</v>
      </c>
      <c r="M72" s="120">
        <v>1</v>
      </c>
      <c r="N72" s="120">
        <v>0</v>
      </c>
      <c r="O72" s="120">
        <v>0</v>
      </c>
      <c r="P72" s="120">
        <v>0</v>
      </c>
      <c r="Q72" s="120">
        <v>1</v>
      </c>
    </row>
    <row r="73" spans="1:17" s="128" customFormat="1" ht="15.75">
      <c r="A73" s="154">
        <v>63</v>
      </c>
      <c r="B73" s="161" t="s">
        <v>261</v>
      </c>
      <c r="C73" s="116">
        <f t="shared" si="1"/>
        <v>67</v>
      </c>
      <c r="D73" s="120">
        <v>67</v>
      </c>
      <c r="E73" s="120">
        <v>0</v>
      </c>
      <c r="F73" s="116">
        <f t="shared" si="2"/>
        <v>140</v>
      </c>
      <c r="G73" s="120">
        <v>140</v>
      </c>
      <c r="H73" s="120">
        <v>0</v>
      </c>
      <c r="I73" s="120">
        <v>0</v>
      </c>
      <c r="J73" s="120">
        <v>0</v>
      </c>
      <c r="K73" s="120">
        <v>140</v>
      </c>
      <c r="L73" s="116">
        <f t="shared" si="6"/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</row>
    <row r="76" spans="1:19" s="210" customFormat="1" ht="12.75">
      <c r="A76" s="47"/>
      <c r="B76" s="47" t="s">
        <v>264</v>
      </c>
      <c r="C76" s="47" t="s">
        <v>286</v>
      </c>
      <c r="D76" s="47"/>
      <c r="E76" s="47"/>
      <c r="F76" s="47"/>
      <c r="G76" s="47"/>
      <c r="H76" s="47"/>
      <c r="I76" s="47"/>
      <c r="J76" s="47"/>
      <c r="K76" s="212"/>
      <c r="L76" s="47"/>
      <c r="M76" s="47"/>
      <c r="N76" s="47"/>
      <c r="O76" s="47"/>
      <c r="P76" s="47"/>
      <c r="Q76" s="47"/>
      <c r="R76" s="213"/>
      <c r="S76" s="213"/>
    </row>
    <row r="77" spans="1:17" s="211" customFormat="1" ht="12.75">
      <c r="A77" s="47"/>
      <c r="B77" s="47" t="s">
        <v>293</v>
      </c>
      <c r="C77" s="47" t="s">
        <v>296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1:19" s="211" customFormat="1" ht="16.5" customHeight="1">
      <c r="A78" s="47"/>
      <c r="B78" s="210" t="s">
        <v>289</v>
      </c>
      <c r="C78" s="47" t="s">
        <v>287</v>
      </c>
      <c r="F78" s="47"/>
      <c r="G78" s="47"/>
      <c r="H78" s="47"/>
      <c r="I78" s="47"/>
      <c r="J78" s="47"/>
      <c r="K78" s="212"/>
      <c r="L78" s="47"/>
      <c r="M78" s="47"/>
      <c r="N78" s="47"/>
      <c r="O78" s="47"/>
      <c r="P78" s="47"/>
      <c r="Q78" s="47"/>
      <c r="R78" s="214"/>
      <c r="S78" s="214"/>
    </row>
  </sheetData>
  <sheetProtection/>
  <mergeCells count="17">
    <mergeCell ref="L7:L8"/>
    <mergeCell ref="L6:Q6"/>
    <mergeCell ref="G7:I7"/>
    <mergeCell ref="J7:K7"/>
    <mergeCell ref="M7:O7"/>
    <mergeCell ref="P7:Q7"/>
    <mergeCell ref="C32:E32"/>
    <mergeCell ref="F32:K32"/>
    <mergeCell ref="L32:Q32"/>
    <mergeCell ref="D7:E7"/>
    <mergeCell ref="F7:F8"/>
    <mergeCell ref="A10:B10"/>
    <mergeCell ref="A6:B8"/>
    <mergeCell ref="A9:B9"/>
    <mergeCell ref="C7:C8"/>
    <mergeCell ref="C6:E6"/>
    <mergeCell ref="F6:K6"/>
  </mergeCells>
  <printOptions/>
  <pageMargins left="0.75" right="0.25" top="0.75" bottom="0.75" header="0.5" footer="0.5"/>
  <pageSetup horizontalDpi="200" verticalDpi="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9"/>
  <sheetViews>
    <sheetView view="pageLayout" zoomScaleNormal="85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6.140625" style="0" customWidth="1"/>
    <col min="3" max="5" width="6.57421875" style="0" customWidth="1"/>
    <col min="6" max="6" width="7.7109375" style="0" customWidth="1"/>
    <col min="7" max="7" width="6.57421875" style="0" customWidth="1"/>
    <col min="8" max="8" width="7.7109375" style="0" customWidth="1"/>
    <col min="9" max="9" width="10.8515625" style="0" customWidth="1"/>
    <col min="10" max="10" width="10.421875" style="0" customWidth="1"/>
    <col min="11" max="11" width="9.57421875" style="0" customWidth="1"/>
    <col min="12" max="12" width="13.8515625" style="0" customWidth="1"/>
    <col min="13" max="14" width="13.00390625" style="0" customWidth="1"/>
  </cols>
  <sheetData>
    <row r="1" spans="1:14" ht="18.75">
      <c r="A1" s="365" t="s">
        <v>7</v>
      </c>
      <c r="B1" s="365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8.75">
      <c r="A2" s="379" t="s">
        <v>82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8.75">
      <c r="A3" s="422" t="s">
        <v>148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ht="18.75">
      <c r="A4" s="366" t="s">
        <v>173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4" ht="12.75">
      <c r="A5" s="19"/>
      <c r="B5" s="175"/>
      <c r="C5" s="1"/>
      <c r="D5" s="1"/>
      <c r="E5" s="1"/>
      <c r="F5" s="1"/>
      <c r="G5" s="1"/>
      <c r="H5" s="1"/>
      <c r="I5" s="20"/>
      <c r="J5" s="20"/>
      <c r="K5" s="21"/>
      <c r="L5" s="1"/>
      <c r="M5" s="1"/>
      <c r="N5" s="1"/>
    </row>
    <row r="6" spans="1:14" s="36" customFormat="1" ht="24.75" customHeight="1">
      <c r="A6" s="421"/>
      <c r="B6" s="421"/>
      <c r="C6" s="411" t="s">
        <v>72</v>
      </c>
      <c r="D6" s="412"/>
      <c r="E6" s="413"/>
      <c r="F6" s="418" t="s">
        <v>73</v>
      </c>
      <c r="G6" s="419"/>
      <c r="H6" s="420"/>
      <c r="I6" s="384" t="s">
        <v>74</v>
      </c>
      <c r="J6" s="384"/>
      <c r="K6" s="384"/>
      <c r="L6" s="384" t="s">
        <v>77</v>
      </c>
      <c r="M6" s="384" t="s">
        <v>25</v>
      </c>
      <c r="N6" s="384" t="s">
        <v>26</v>
      </c>
    </row>
    <row r="7" spans="1:14" s="36" customFormat="1" ht="18" customHeight="1">
      <c r="A7" s="421"/>
      <c r="B7" s="421"/>
      <c r="C7" s="414" t="s">
        <v>9</v>
      </c>
      <c r="D7" s="416" t="s">
        <v>44</v>
      </c>
      <c r="E7" s="417"/>
      <c r="F7" s="414" t="s">
        <v>9</v>
      </c>
      <c r="G7" s="416" t="s">
        <v>44</v>
      </c>
      <c r="H7" s="417"/>
      <c r="I7" s="315" t="s">
        <v>9</v>
      </c>
      <c r="J7" s="335" t="s">
        <v>44</v>
      </c>
      <c r="K7" s="336"/>
      <c r="L7" s="384"/>
      <c r="M7" s="384"/>
      <c r="N7" s="384"/>
    </row>
    <row r="8" spans="1:14" s="36" customFormat="1" ht="48">
      <c r="A8" s="421"/>
      <c r="B8" s="421"/>
      <c r="C8" s="415"/>
      <c r="D8" s="94" t="s">
        <v>133</v>
      </c>
      <c r="E8" s="94" t="s">
        <v>134</v>
      </c>
      <c r="F8" s="415"/>
      <c r="G8" s="94" t="s">
        <v>133</v>
      </c>
      <c r="H8" s="94" t="s">
        <v>134</v>
      </c>
      <c r="I8" s="317"/>
      <c r="J8" s="37" t="s">
        <v>76</v>
      </c>
      <c r="K8" s="37" t="s">
        <v>75</v>
      </c>
      <c r="L8" s="384"/>
      <c r="M8" s="384"/>
      <c r="N8" s="384"/>
    </row>
    <row r="9" spans="1:14" s="36" customFormat="1" ht="12.75">
      <c r="A9" s="423" t="s">
        <v>40</v>
      </c>
      <c r="B9" s="424"/>
      <c r="C9" s="69">
        <v>1</v>
      </c>
      <c r="D9" s="69">
        <v>2</v>
      </c>
      <c r="E9" s="69">
        <v>3</v>
      </c>
      <c r="F9" s="69">
        <v>4</v>
      </c>
      <c r="G9" s="69">
        <v>5</v>
      </c>
      <c r="H9" s="69">
        <v>6</v>
      </c>
      <c r="I9" s="69">
        <v>7</v>
      </c>
      <c r="J9" s="69">
        <v>8</v>
      </c>
      <c r="K9" s="69">
        <v>9</v>
      </c>
      <c r="L9" s="69">
        <v>10</v>
      </c>
      <c r="M9" s="69">
        <v>11</v>
      </c>
      <c r="N9" s="68">
        <v>12</v>
      </c>
    </row>
    <row r="10" spans="1:14" s="36" customFormat="1" ht="24" customHeight="1">
      <c r="A10" s="377" t="s">
        <v>97</v>
      </c>
      <c r="B10" s="378"/>
      <c r="C10" s="136">
        <f>SUM(C11:C73)</f>
        <v>552</v>
      </c>
      <c r="D10" s="136">
        <f>SUM(D11:D73)</f>
        <v>137</v>
      </c>
      <c r="E10" s="136">
        <f>SUM(E11:E73)</f>
        <v>415</v>
      </c>
      <c r="F10" s="136">
        <f>SUM(F11:F73)</f>
        <v>1021</v>
      </c>
      <c r="G10" s="136">
        <f>SUM(G11:G73)</f>
        <v>435</v>
      </c>
      <c r="H10" s="136">
        <f aca="true" t="shared" si="0" ref="H10:N10">SUM(H11:H73)</f>
        <v>586</v>
      </c>
      <c r="I10" s="136">
        <f t="shared" si="0"/>
        <v>767936</v>
      </c>
      <c r="J10" s="136">
        <f t="shared" si="0"/>
        <v>722624</v>
      </c>
      <c r="K10" s="136">
        <f t="shared" si="0"/>
        <v>45312</v>
      </c>
      <c r="L10" s="136">
        <f t="shared" si="0"/>
        <v>317626438.59199995</v>
      </c>
      <c r="M10" s="136">
        <f t="shared" si="0"/>
        <v>30004428.856</v>
      </c>
      <c r="N10" s="136">
        <f t="shared" si="0"/>
        <v>98951254.31400001</v>
      </c>
    </row>
    <row r="11" spans="1:14" ht="15.75">
      <c r="A11" s="154">
        <v>1</v>
      </c>
      <c r="B11" s="155" t="s">
        <v>175</v>
      </c>
      <c r="C11" s="116">
        <f>D11+E11</f>
        <v>11</v>
      </c>
      <c r="D11" s="130">
        <v>2</v>
      </c>
      <c r="E11" s="130">
        <v>9</v>
      </c>
      <c r="F11" s="116">
        <f>G11+H11</f>
        <v>17</v>
      </c>
      <c r="G11" s="130">
        <v>8</v>
      </c>
      <c r="H11" s="130">
        <v>9</v>
      </c>
      <c r="I11" s="116">
        <f>J11+K11</f>
        <v>14877</v>
      </c>
      <c r="J11" s="130">
        <v>8664</v>
      </c>
      <c r="K11" s="130">
        <v>6213</v>
      </c>
      <c r="L11" s="130">
        <v>5412452</v>
      </c>
      <c r="M11" s="130">
        <v>347718</v>
      </c>
      <c r="N11" s="130">
        <v>1052421.5</v>
      </c>
    </row>
    <row r="12" spans="1:14" ht="15.75">
      <c r="A12" s="154">
        <v>2</v>
      </c>
      <c r="B12" s="155" t="s">
        <v>263</v>
      </c>
      <c r="C12" s="116">
        <f aca="true" t="shared" si="1" ref="C12:C28">D12+E12</f>
        <v>18</v>
      </c>
      <c r="D12" s="130">
        <v>3</v>
      </c>
      <c r="E12" s="130">
        <v>15</v>
      </c>
      <c r="F12" s="116">
        <f aca="true" t="shared" si="2" ref="F12:F28">G12+H12</f>
        <v>22</v>
      </c>
      <c r="G12" s="130">
        <v>7</v>
      </c>
      <c r="H12" s="130">
        <v>15</v>
      </c>
      <c r="I12" s="116">
        <f aca="true" t="shared" si="3" ref="I12:I28">J12+K12</f>
        <v>0</v>
      </c>
      <c r="J12" s="130"/>
      <c r="K12" s="130"/>
      <c r="L12" s="130">
        <v>8990904.396</v>
      </c>
      <c r="M12" s="130">
        <v>1358543.043</v>
      </c>
      <c r="N12" s="163">
        <v>0</v>
      </c>
    </row>
    <row r="13" spans="1:14" ht="15.75">
      <c r="A13" s="154">
        <v>3</v>
      </c>
      <c r="B13" s="155" t="s">
        <v>176</v>
      </c>
      <c r="C13" s="116">
        <f t="shared" si="1"/>
        <v>7</v>
      </c>
      <c r="D13" s="130">
        <v>2</v>
      </c>
      <c r="E13" s="130">
        <v>5</v>
      </c>
      <c r="F13" s="116">
        <f t="shared" si="2"/>
        <v>10</v>
      </c>
      <c r="G13" s="130">
        <v>5</v>
      </c>
      <c r="H13" s="130">
        <v>5</v>
      </c>
      <c r="I13" s="116">
        <f t="shared" si="3"/>
        <v>5002</v>
      </c>
      <c r="J13" s="130">
        <v>4844</v>
      </c>
      <c r="K13" s="130">
        <v>158</v>
      </c>
      <c r="L13" s="120">
        <v>1672088</v>
      </c>
      <c r="M13" s="120">
        <v>0</v>
      </c>
      <c r="N13" s="120">
        <v>244815</v>
      </c>
    </row>
    <row r="14" spans="1:14" ht="15.75">
      <c r="A14" s="154">
        <v>4</v>
      </c>
      <c r="B14" s="155" t="s">
        <v>177</v>
      </c>
      <c r="C14" s="116">
        <f t="shared" si="1"/>
        <v>3</v>
      </c>
      <c r="D14" s="130">
        <v>3</v>
      </c>
      <c r="E14" s="130">
        <v>0</v>
      </c>
      <c r="F14" s="116">
        <f t="shared" si="2"/>
        <v>4</v>
      </c>
      <c r="G14" s="130">
        <v>4</v>
      </c>
      <c r="H14" s="130">
        <v>0</v>
      </c>
      <c r="I14" s="116">
        <f t="shared" si="3"/>
        <v>1928</v>
      </c>
      <c r="J14" s="130">
        <v>1873</v>
      </c>
      <c r="K14" s="130">
        <v>55</v>
      </c>
      <c r="L14" s="130">
        <v>573351.3</v>
      </c>
      <c r="M14" s="130">
        <v>8400</v>
      </c>
      <c r="N14" s="130">
        <v>286675.65</v>
      </c>
    </row>
    <row r="15" spans="1:14" ht="15.75">
      <c r="A15" s="154">
        <v>5</v>
      </c>
      <c r="B15" s="155" t="s">
        <v>178</v>
      </c>
      <c r="C15" s="116">
        <f t="shared" si="1"/>
        <v>5</v>
      </c>
      <c r="D15" s="130">
        <v>1</v>
      </c>
      <c r="E15" s="130">
        <v>4</v>
      </c>
      <c r="F15" s="116">
        <f t="shared" si="2"/>
        <v>7</v>
      </c>
      <c r="G15" s="120">
        <v>2</v>
      </c>
      <c r="H15" s="120">
        <v>5</v>
      </c>
      <c r="I15" s="116">
        <f t="shared" si="3"/>
        <v>2666</v>
      </c>
      <c r="J15" s="120">
        <f>1029+148+36+1205+143+46</f>
        <v>2607</v>
      </c>
      <c r="K15" s="120">
        <v>59</v>
      </c>
      <c r="L15" s="120">
        <v>997659</v>
      </c>
      <c r="M15" s="120">
        <v>3127</v>
      </c>
      <c r="N15" s="120">
        <v>262400</v>
      </c>
    </row>
    <row r="16" spans="1:14" ht="15.75">
      <c r="A16" s="154">
        <v>6</v>
      </c>
      <c r="B16" s="155" t="s">
        <v>179</v>
      </c>
      <c r="C16" s="116">
        <f t="shared" si="1"/>
        <v>13</v>
      </c>
      <c r="D16" s="120">
        <v>3</v>
      </c>
      <c r="E16" s="120">
        <v>10</v>
      </c>
      <c r="F16" s="116">
        <f>G16+H16</f>
        <v>16</v>
      </c>
      <c r="G16" s="120">
        <v>6</v>
      </c>
      <c r="H16" s="120">
        <v>10</v>
      </c>
      <c r="I16" s="116">
        <f t="shared" si="3"/>
        <v>10716</v>
      </c>
      <c r="J16" s="120">
        <v>10444</v>
      </c>
      <c r="K16" s="120">
        <v>272</v>
      </c>
      <c r="L16" s="120">
        <v>4082110</v>
      </c>
      <c r="M16" s="120">
        <v>0</v>
      </c>
      <c r="N16" s="120">
        <v>867176</v>
      </c>
    </row>
    <row r="17" spans="1:14" ht="15.75">
      <c r="A17" s="154">
        <v>7</v>
      </c>
      <c r="B17" s="155" t="s">
        <v>180</v>
      </c>
      <c r="C17" s="116">
        <f t="shared" si="1"/>
        <v>3</v>
      </c>
      <c r="D17" s="130">
        <v>1</v>
      </c>
      <c r="E17" s="130">
        <v>2</v>
      </c>
      <c r="F17" s="116">
        <f t="shared" si="2"/>
        <v>5</v>
      </c>
      <c r="G17" s="130">
        <v>3</v>
      </c>
      <c r="H17" s="130">
        <v>2</v>
      </c>
      <c r="I17" s="116">
        <f t="shared" si="3"/>
        <v>6683</v>
      </c>
      <c r="J17" s="130">
        <v>6568</v>
      </c>
      <c r="K17" s="130">
        <v>115</v>
      </c>
      <c r="L17" s="130">
        <v>1749392</v>
      </c>
      <c r="M17" s="130">
        <v>2000</v>
      </c>
      <c r="N17" s="130">
        <v>838940</v>
      </c>
    </row>
    <row r="18" spans="1:14" ht="15.75">
      <c r="A18" s="154">
        <v>8</v>
      </c>
      <c r="B18" s="155" t="s">
        <v>181</v>
      </c>
      <c r="C18" s="116">
        <f t="shared" si="1"/>
        <v>7</v>
      </c>
      <c r="D18" s="130">
        <v>3</v>
      </c>
      <c r="E18" s="130">
        <v>4</v>
      </c>
      <c r="F18" s="116">
        <f t="shared" si="2"/>
        <v>12</v>
      </c>
      <c r="G18" s="130">
        <v>8</v>
      </c>
      <c r="H18" s="130">
        <v>4</v>
      </c>
      <c r="I18" s="116">
        <f t="shared" si="3"/>
        <v>9553</v>
      </c>
      <c r="J18" s="130">
        <v>9251</v>
      </c>
      <c r="K18" s="130">
        <v>302</v>
      </c>
      <c r="L18" s="130">
        <v>2940253</v>
      </c>
      <c r="M18" s="130">
        <v>121819</v>
      </c>
      <c r="N18" s="130">
        <v>1047352</v>
      </c>
    </row>
    <row r="19" spans="1:14" ht="15.75">
      <c r="A19" s="154">
        <v>9</v>
      </c>
      <c r="B19" s="155" t="s">
        <v>182</v>
      </c>
      <c r="C19" s="116">
        <f t="shared" si="1"/>
        <v>12</v>
      </c>
      <c r="D19" s="130">
        <v>2</v>
      </c>
      <c r="E19" s="130">
        <v>10</v>
      </c>
      <c r="F19" s="116">
        <f t="shared" si="2"/>
        <v>20</v>
      </c>
      <c r="G19" s="130">
        <v>4</v>
      </c>
      <c r="H19" s="130">
        <v>16</v>
      </c>
      <c r="I19" s="116">
        <f t="shared" si="3"/>
        <v>36773</v>
      </c>
      <c r="J19" s="130">
        <v>33392</v>
      </c>
      <c r="K19" s="130">
        <v>3381</v>
      </c>
      <c r="L19" s="130">
        <v>11499175</v>
      </c>
      <c r="M19" s="130">
        <v>631806</v>
      </c>
      <c r="N19" s="130">
        <v>2731272.5</v>
      </c>
    </row>
    <row r="20" spans="1:14" ht="15.75">
      <c r="A20" s="154">
        <v>10</v>
      </c>
      <c r="B20" s="155" t="s">
        <v>183</v>
      </c>
      <c r="C20" s="116">
        <f t="shared" si="1"/>
        <v>6</v>
      </c>
      <c r="D20" s="120">
        <v>1</v>
      </c>
      <c r="E20" s="120">
        <v>5</v>
      </c>
      <c r="F20" s="116">
        <f>G20+H20</f>
        <v>8</v>
      </c>
      <c r="G20" s="120">
        <v>3</v>
      </c>
      <c r="H20" s="120">
        <v>5</v>
      </c>
      <c r="I20" s="116">
        <f>J20+K20</f>
        <v>9513</v>
      </c>
      <c r="J20" s="120">
        <v>9461</v>
      </c>
      <c r="K20" s="120">
        <v>52</v>
      </c>
      <c r="L20" s="130">
        <v>3039352</v>
      </c>
      <c r="M20" s="130">
        <v>0</v>
      </c>
      <c r="N20" s="130">
        <v>833303</v>
      </c>
    </row>
    <row r="21" spans="1:14" ht="15.75">
      <c r="A21" s="154">
        <v>11</v>
      </c>
      <c r="B21" s="155" t="s">
        <v>184</v>
      </c>
      <c r="C21" s="116">
        <f t="shared" si="1"/>
        <v>5</v>
      </c>
      <c r="D21" s="130">
        <v>1</v>
      </c>
      <c r="E21" s="130">
        <v>4</v>
      </c>
      <c r="F21" s="116">
        <f t="shared" si="2"/>
        <v>9</v>
      </c>
      <c r="G21" s="130">
        <v>4</v>
      </c>
      <c r="H21" s="130">
        <v>5</v>
      </c>
      <c r="I21" s="116">
        <f t="shared" si="3"/>
        <v>7712</v>
      </c>
      <c r="J21" s="120">
        <v>7446</v>
      </c>
      <c r="K21" s="120">
        <v>266</v>
      </c>
      <c r="L21" s="120">
        <v>1766392</v>
      </c>
      <c r="M21" s="120">
        <v>891232</v>
      </c>
      <c r="N21" s="120">
        <v>875160</v>
      </c>
    </row>
    <row r="22" spans="1:14" ht="15.75">
      <c r="A22" s="154">
        <v>12</v>
      </c>
      <c r="B22" s="155" t="s">
        <v>185</v>
      </c>
      <c r="C22" s="116">
        <f t="shared" si="1"/>
        <v>2</v>
      </c>
      <c r="D22" s="130">
        <v>1</v>
      </c>
      <c r="E22" s="130">
        <v>1</v>
      </c>
      <c r="F22" s="116">
        <f t="shared" si="2"/>
        <v>5</v>
      </c>
      <c r="G22" s="130">
        <v>4</v>
      </c>
      <c r="H22" s="130">
        <v>1</v>
      </c>
      <c r="I22" s="116">
        <f t="shared" si="3"/>
        <v>5131</v>
      </c>
      <c r="J22" s="120">
        <f>2055+299+239+1854+435+89</f>
        <v>4971</v>
      </c>
      <c r="K22" s="120">
        <f>127+19+14</f>
        <v>160</v>
      </c>
      <c r="L22" s="120">
        <v>1596140</v>
      </c>
      <c r="M22" s="120">
        <v>15000</v>
      </c>
      <c r="N22" s="120">
        <v>758107</v>
      </c>
    </row>
    <row r="23" spans="1:14" ht="15.75">
      <c r="A23" s="154">
        <v>13</v>
      </c>
      <c r="B23" s="155" t="s">
        <v>186</v>
      </c>
      <c r="C23" s="116">
        <f t="shared" si="1"/>
        <v>12</v>
      </c>
      <c r="D23" s="130">
        <v>2</v>
      </c>
      <c r="E23" s="130">
        <v>10</v>
      </c>
      <c r="F23" s="116">
        <f t="shared" si="2"/>
        <v>19</v>
      </c>
      <c r="G23" s="130">
        <v>8</v>
      </c>
      <c r="H23" s="130">
        <v>11</v>
      </c>
      <c r="I23" s="116">
        <f t="shared" si="3"/>
        <v>19979</v>
      </c>
      <c r="J23" s="120">
        <v>18672</v>
      </c>
      <c r="K23" s="120">
        <v>1307</v>
      </c>
      <c r="L23" s="302">
        <v>5635018</v>
      </c>
      <c r="M23" s="302">
        <v>1240414</v>
      </c>
      <c r="N23" s="302">
        <v>1922399</v>
      </c>
    </row>
    <row r="24" spans="1:14" ht="15.75">
      <c r="A24" s="154">
        <v>14</v>
      </c>
      <c r="B24" s="155" t="s">
        <v>187</v>
      </c>
      <c r="C24" s="116">
        <f t="shared" si="1"/>
        <v>3</v>
      </c>
      <c r="D24" s="130">
        <v>1</v>
      </c>
      <c r="E24" s="130">
        <v>2</v>
      </c>
      <c r="F24" s="116">
        <f t="shared" si="2"/>
        <v>3</v>
      </c>
      <c r="G24" s="130">
        <v>1</v>
      </c>
      <c r="H24" s="130">
        <v>2</v>
      </c>
      <c r="I24" s="116">
        <f t="shared" si="3"/>
        <v>883</v>
      </c>
      <c r="J24" s="120">
        <v>826</v>
      </c>
      <c r="K24" s="120">
        <v>57</v>
      </c>
      <c r="L24" s="120">
        <v>426529</v>
      </c>
      <c r="M24" s="120">
        <v>15.5</v>
      </c>
      <c r="N24" s="120">
        <v>192427</v>
      </c>
    </row>
    <row r="25" spans="1:14" ht="15.75">
      <c r="A25" s="154">
        <v>15</v>
      </c>
      <c r="B25" s="155" t="s">
        <v>188</v>
      </c>
      <c r="C25" s="116">
        <f t="shared" si="1"/>
        <v>12</v>
      </c>
      <c r="D25" s="120">
        <v>3</v>
      </c>
      <c r="E25" s="120">
        <v>9</v>
      </c>
      <c r="F25" s="116">
        <f t="shared" si="2"/>
        <v>21</v>
      </c>
      <c r="G25" s="120">
        <v>11</v>
      </c>
      <c r="H25" s="120">
        <v>10</v>
      </c>
      <c r="I25" s="116">
        <f t="shared" si="3"/>
        <v>25853</v>
      </c>
      <c r="J25" s="120">
        <v>23652</v>
      </c>
      <c r="K25" s="120">
        <v>2201</v>
      </c>
      <c r="L25" s="120">
        <v>10487012</v>
      </c>
      <c r="M25" s="120">
        <v>604952</v>
      </c>
      <c r="N25" s="120">
        <v>3258367</v>
      </c>
    </row>
    <row r="26" spans="1:14" ht="15.75">
      <c r="A26" s="154">
        <v>16</v>
      </c>
      <c r="B26" s="155" t="s">
        <v>189</v>
      </c>
      <c r="C26" s="116">
        <f t="shared" si="1"/>
        <v>7</v>
      </c>
      <c r="D26" s="130">
        <v>3</v>
      </c>
      <c r="E26" s="130">
        <v>4</v>
      </c>
      <c r="F26" s="116">
        <f t="shared" si="2"/>
        <v>11</v>
      </c>
      <c r="G26" s="130">
        <v>6</v>
      </c>
      <c r="H26" s="130">
        <v>5</v>
      </c>
      <c r="I26" s="116">
        <f t="shared" si="3"/>
        <v>22123</v>
      </c>
      <c r="J26" s="120">
        <f>7850+115+211+11569+1147+199</f>
        <v>21091</v>
      </c>
      <c r="K26" s="120">
        <f>694+110+12+216</f>
        <v>1032</v>
      </c>
      <c r="L26" s="120">
        <v>3462104</v>
      </c>
      <c r="M26" s="120">
        <v>78379</v>
      </c>
      <c r="N26" s="120">
        <v>1053468</v>
      </c>
    </row>
    <row r="27" spans="1:14" ht="15.75">
      <c r="A27" s="154">
        <v>17</v>
      </c>
      <c r="B27" s="155" t="s">
        <v>190</v>
      </c>
      <c r="C27" s="116">
        <f t="shared" si="1"/>
        <v>2</v>
      </c>
      <c r="D27" s="130">
        <v>1</v>
      </c>
      <c r="E27" s="130">
        <v>1</v>
      </c>
      <c r="F27" s="116">
        <f t="shared" si="2"/>
        <v>3</v>
      </c>
      <c r="G27" s="130">
        <v>2</v>
      </c>
      <c r="H27" s="130">
        <v>1</v>
      </c>
      <c r="I27" s="116">
        <f t="shared" si="3"/>
        <v>1856</v>
      </c>
      <c r="J27" s="120">
        <v>1800</v>
      </c>
      <c r="K27" s="120">
        <v>56</v>
      </c>
      <c r="L27" s="120">
        <v>399694.176</v>
      </c>
      <c r="M27" s="120">
        <v>0</v>
      </c>
      <c r="N27" s="120">
        <v>199847.088</v>
      </c>
    </row>
    <row r="28" spans="1:14" ht="15.75">
      <c r="A28" s="154">
        <v>18</v>
      </c>
      <c r="B28" s="155" t="s">
        <v>191</v>
      </c>
      <c r="C28" s="116">
        <f t="shared" si="1"/>
        <v>2</v>
      </c>
      <c r="D28" s="130">
        <v>1</v>
      </c>
      <c r="E28" s="130">
        <v>1</v>
      </c>
      <c r="F28" s="116">
        <f t="shared" si="2"/>
        <v>3</v>
      </c>
      <c r="G28" s="130">
        <v>2</v>
      </c>
      <c r="H28" s="130">
        <v>1</v>
      </c>
      <c r="I28" s="116">
        <f t="shared" si="3"/>
        <v>1346</v>
      </c>
      <c r="J28" s="120">
        <v>1339</v>
      </c>
      <c r="K28" s="120">
        <v>7</v>
      </c>
      <c r="L28" s="120">
        <v>595375</v>
      </c>
      <c r="M28" s="120">
        <v>4475</v>
      </c>
      <c r="N28" s="120">
        <v>11420</v>
      </c>
    </row>
    <row r="29" spans="1:14" ht="15.75">
      <c r="A29" s="154">
        <v>19</v>
      </c>
      <c r="B29" s="157" t="s">
        <v>211</v>
      </c>
      <c r="C29" s="116">
        <f>D29+E29</f>
        <v>23</v>
      </c>
      <c r="D29" s="120">
        <v>4</v>
      </c>
      <c r="E29" s="120">
        <v>19</v>
      </c>
      <c r="F29" s="116">
        <f>G29+H29</f>
        <v>33</v>
      </c>
      <c r="G29" s="120">
        <v>12</v>
      </c>
      <c r="H29" s="120">
        <v>21</v>
      </c>
      <c r="I29" s="116">
        <f>J29+K29</f>
        <v>16560</v>
      </c>
      <c r="J29" s="120">
        <f>5151+578+661+5797+2512+1030</f>
        <v>15729</v>
      </c>
      <c r="K29" s="120">
        <f>702+34+2+93</f>
        <v>831</v>
      </c>
      <c r="L29" s="120">
        <v>6236133.314</v>
      </c>
      <c r="M29" s="120">
        <v>134440.313</v>
      </c>
      <c r="N29" s="120">
        <v>1182359.025</v>
      </c>
    </row>
    <row r="30" spans="1:14" ht="15.75">
      <c r="A30" s="154">
        <v>20</v>
      </c>
      <c r="B30" s="157" t="s">
        <v>212</v>
      </c>
      <c r="C30" s="116">
        <f>D30</f>
        <v>3</v>
      </c>
      <c r="D30" s="130">
        <v>3</v>
      </c>
      <c r="E30" s="142" t="s">
        <v>290</v>
      </c>
      <c r="F30" s="116">
        <f>G30</f>
        <v>9</v>
      </c>
      <c r="G30" s="130">
        <v>9</v>
      </c>
      <c r="H30" s="142" t="s">
        <v>290</v>
      </c>
      <c r="I30" s="116">
        <f aca="true" t="shared" si="4" ref="I30:I45">J30+K30</f>
        <v>8210</v>
      </c>
      <c r="J30" s="120">
        <f>2838+312+180+3223+568+207</f>
        <v>7328</v>
      </c>
      <c r="K30" s="120">
        <f>393+41+448</f>
        <v>882</v>
      </c>
      <c r="L30" s="120">
        <v>2286343</v>
      </c>
      <c r="M30" s="120">
        <v>148337</v>
      </c>
      <c r="N30" s="120">
        <v>1162439</v>
      </c>
    </row>
    <row r="31" spans="1:14" ht="15.75">
      <c r="A31" s="154">
        <v>21</v>
      </c>
      <c r="B31" s="157" t="s">
        <v>213</v>
      </c>
      <c r="C31" s="116">
        <f aca="true" t="shared" si="5" ref="C31:C45">D31+E31</f>
        <v>6</v>
      </c>
      <c r="D31" s="130">
        <v>3</v>
      </c>
      <c r="E31" s="130">
        <v>3</v>
      </c>
      <c r="F31" s="116">
        <f aca="true" t="shared" si="6" ref="F31:F45">G31+H31</f>
        <v>13</v>
      </c>
      <c r="G31" s="120">
        <v>8</v>
      </c>
      <c r="H31" s="120">
        <v>5</v>
      </c>
      <c r="I31" s="116">
        <f t="shared" si="4"/>
        <v>14892</v>
      </c>
      <c r="J31" s="120">
        <f>4793+223+238+6647+1864+651</f>
        <v>14416</v>
      </c>
      <c r="K31" s="120">
        <f>365+75+36</f>
        <v>476</v>
      </c>
      <c r="L31" s="129">
        <v>4097971</v>
      </c>
      <c r="M31" s="120">
        <v>77350</v>
      </c>
      <c r="N31" s="120">
        <v>1382778</v>
      </c>
    </row>
    <row r="32" spans="1:14" ht="15.75">
      <c r="A32" s="154">
        <v>22</v>
      </c>
      <c r="B32" s="157" t="s">
        <v>214</v>
      </c>
      <c r="C32" s="116">
        <f t="shared" si="5"/>
        <v>3</v>
      </c>
      <c r="D32" s="130">
        <v>1</v>
      </c>
      <c r="E32" s="130">
        <v>2</v>
      </c>
      <c r="F32" s="116">
        <f t="shared" si="6"/>
        <v>5</v>
      </c>
      <c r="G32" s="120">
        <v>3</v>
      </c>
      <c r="H32" s="120">
        <v>2</v>
      </c>
      <c r="I32" s="116">
        <f t="shared" si="4"/>
        <v>1721</v>
      </c>
      <c r="J32" s="120">
        <v>1687</v>
      </c>
      <c r="K32" s="120">
        <f>15+19</f>
        <v>34</v>
      </c>
      <c r="L32" s="120">
        <v>373120</v>
      </c>
      <c r="M32" s="120">
        <v>6300</v>
      </c>
      <c r="N32" s="120">
        <v>96957</v>
      </c>
    </row>
    <row r="33" spans="1:14" ht="15.75">
      <c r="A33" s="154">
        <v>23</v>
      </c>
      <c r="B33" s="157" t="s">
        <v>215</v>
      </c>
      <c r="C33" s="116">
        <f t="shared" si="5"/>
        <v>7</v>
      </c>
      <c r="D33" s="130">
        <v>3</v>
      </c>
      <c r="E33" s="130">
        <v>4</v>
      </c>
      <c r="F33" s="116">
        <f t="shared" si="6"/>
        <v>11</v>
      </c>
      <c r="G33" s="130">
        <v>6</v>
      </c>
      <c r="H33" s="130">
        <v>5</v>
      </c>
      <c r="I33" s="116">
        <f t="shared" si="4"/>
        <v>4114</v>
      </c>
      <c r="J33" s="130">
        <f>1254+29+63+1416+1154+64</f>
        <v>3980</v>
      </c>
      <c r="K33" s="130">
        <f>107+1+25+1</f>
        <v>134</v>
      </c>
      <c r="L33" s="130">
        <v>1323993</v>
      </c>
      <c r="M33" s="130">
        <v>0</v>
      </c>
      <c r="N33" s="130">
        <v>156643</v>
      </c>
    </row>
    <row r="34" spans="1:14" ht="15.75">
      <c r="A34" s="156">
        <v>24</v>
      </c>
      <c r="B34" s="158" t="s">
        <v>216</v>
      </c>
      <c r="C34" s="116">
        <f t="shared" si="5"/>
        <v>69</v>
      </c>
      <c r="D34" s="130">
        <v>10</v>
      </c>
      <c r="E34" s="130">
        <v>59</v>
      </c>
      <c r="F34" s="116">
        <f t="shared" si="6"/>
        <v>183</v>
      </c>
      <c r="G34" s="130">
        <v>56</v>
      </c>
      <c r="H34" s="130">
        <v>127</v>
      </c>
      <c r="I34" s="163" t="s">
        <v>292</v>
      </c>
      <c r="J34" s="142" t="s">
        <v>290</v>
      </c>
      <c r="K34" s="163" t="s">
        <v>292</v>
      </c>
      <c r="L34" s="120">
        <v>60000000</v>
      </c>
      <c r="M34" s="120">
        <v>8000000</v>
      </c>
      <c r="N34" s="120">
        <v>15000000</v>
      </c>
    </row>
    <row r="35" spans="1:14" ht="15.75">
      <c r="A35" s="154">
        <v>25</v>
      </c>
      <c r="B35" s="157" t="s">
        <v>217</v>
      </c>
      <c r="C35" s="116">
        <f t="shared" si="5"/>
        <v>7</v>
      </c>
      <c r="D35" s="130">
        <v>2</v>
      </c>
      <c r="E35" s="130">
        <v>5</v>
      </c>
      <c r="F35" s="116">
        <f t="shared" si="6"/>
        <v>9</v>
      </c>
      <c r="G35" s="130">
        <v>4</v>
      </c>
      <c r="H35" s="130">
        <v>5</v>
      </c>
      <c r="I35" s="116">
        <f t="shared" si="4"/>
        <v>2502</v>
      </c>
      <c r="J35" s="130">
        <f>742+55+20+1380+132+157</f>
        <v>2486</v>
      </c>
      <c r="K35" s="130">
        <f>15+0+0+1</f>
        <v>16</v>
      </c>
      <c r="L35" s="129">
        <v>958052</v>
      </c>
      <c r="M35" s="120">
        <v>70212</v>
      </c>
      <c r="N35" s="120">
        <v>158272</v>
      </c>
    </row>
    <row r="36" spans="1:14" ht="15.75">
      <c r="A36" s="154">
        <v>26</v>
      </c>
      <c r="B36" s="157" t="s">
        <v>218</v>
      </c>
      <c r="C36" s="116">
        <f t="shared" si="5"/>
        <v>14</v>
      </c>
      <c r="D36" s="130">
        <v>2</v>
      </c>
      <c r="E36" s="130">
        <v>12</v>
      </c>
      <c r="F36" s="116">
        <f t="shared" si="6"/>
        <v>22</v>
      </c>
      <c r="G36" s="130">
        <v>8</v>
      </c>
      <c r="H36" s="130">
        <v>14</v>
      </c>
      <c r="I36" s="116">
        <f t="shared" si="4"/>
        <v>16261</v>
      </c>
      <c r="J36" s="120">
        <f>5027+351+149+6903+2334+876</f>
        <v>15640</v>
      </c>
      <c r="K36" s="120">
        <v>621</v>
      </c>
      <c r="L36" s="120">
        <v>4660197</v>
      </c>
      <c r="M36" s="120">
        <v>12944</v>
      </c>
      <c r="N36" s="120">
        <v>1502916</v>
      </c>
    </row>
    <row r="37" spans="1:14" ht="15.75">
      <c r="A37" s="154">
        <v>27</v>
      </c>
      <c r="B37" s="157" t="s">
        <v>219</v>
      </c>
      <c r="C37" s="116">
        <f t="shared" si="5"/>
        <v>17</v>
      </c>
      <c r="D37" s="130">
        <v>5</v>
      </c>
      <c r="E37" s="130">
        <v>12</v>
      </c>
      <c r="F37" s="116">
        <f t="shared" si="6"/>
        <v>35</v>
      </c>
      <c r="G37" s="130">
        <v>18</v>
      </c>
      <c r="H37" s="130">
        <v>17</v>
      </c>
      <c r="I37" s="116">
        <f t="shared" si="4"/>
        <v>15586</v>
      </c>
      <c r="J37" s="120">
        <f>5587+587+270+4838+1759+1841</f>
        <v>14882</v>
      </c>
      <c r="K37" s="120">
        <f>648+0+7+49</f>
        <v>704</v>
      </c>
      <c r="L37" s="129">
        <v>8751836</v>
      </c>
      <c r="M37" s="129">
        <v>1419840</v>
      </c>
      <c r="N37" s="129">
        <v>2579095</v>
      </c>
    </row>
    <row r="38" spans="1:14" ht="15.75">
      <c r="A38" s="154">
        <v>28</v>
      </c>
      <c r="B38" s="157" t="s">
        <v>220</v>
      </c>
      <c r="C38" s="116">
        <f t="shared" si="5"/>
        <v>2</v>
      </c>
      <c r="D38" s="130">
        <v>1</v>
      </c>
      <c r="E38" s="130">
        <v>1</v>
      </c>
      <c r="F38" s="116">
        <f t="shared" si="6"/>
        <v>5</v>
      </c>
      <c r="G38" s="130">
        <v>3</v>
      </c>
      <c r="H38" s="130">
        <v>2</v>
      </c>
      <c r="I38" s="116">
        <f t="shared" si="4"/>
        <v>2415</v>
      </c>
      <c r="J38" s="120">
        <f>1408+45+28+565+166+73</f>
        <v>2285</v>
      </c>
      <c r="K38" s="120">
        <f>116+14</f>
        <v>130</v>
      </c>
      <c r="L38" s="120">
        <v>743406</v>
      </c>
      <c r="M38" s="120">
        <v>18355</v>
      </c>
      <c r="N38" s="120">
        <v>217199</v>
      </c>
    </row>
    <row r="39" spans="1:14" ht="15.75">
      <c r="A39" s="154">
        <v>29</v>
      </c>
      <c r="B39" s="157" t="s">
        <v>221</v>
      </c>
      <c r="C39" s="116">
        <f t="shared" si="5"/>
        <v>4</v>
      </c>
      <c r="D39" s="223">
        <v>1</v>
      </c>
      <c r="E39" s="130">
        <v>3</v>
      </c>
      <c r="F39" s="116">
        <f t="shared" si="6"/>
        <v>6</v>
      </c>
      <c r="G39" s="130">
        <v>3</v>
      </c>
      <c r="H39" s="130">
        <v>3</v>
      </c>
      <c r="I39" s="116">
        <f t="shared" si="4"/>
        <v>4891</v>
      </c>
      <c r="J39" s="120">
        <f>959+705+444+1436+695+304</f>
        <v>4543</v>
      </c>
      <c r="K39" s="120">
        <f>333+0+0+15</f>
        <v>348</v>
      </c>
      <c r="L39" s="120">
        <v>1341831</v>
      </c>
      <c r="M39" s="120">
        <v>0</v>
      </c>
      <c r="N39" s="120">
        <v>545430</v>
      </c>
    </row>
    <row r="40" spans="1:14" ht="15.75">
      <c r="A40" s="154">
        <v>30</v>
      </c>
      <c r="B40" s="157" t="s">
        <v>222</v>
      </c>
      <c r="C40" s="116">
        <f t="shared" si="5"/>
        <v>11</v>
      </c>
      <c r="D40" s="130">
        <v>2</v>
      </c>
      <c r="E40" s="130">
        <v>9</v>
      </c>
      <c r="F40" s="116">
        <f t="shared" si="6"/>
        <v>11</v>
      </c>
      <c r="G40" s="130">
        <v>2</v>
      </c>
      <c r="H40" s="130">
        <v>9</v>
      </c>
      <c r="I40" s="116">
        <f t="shared" si="4"/>
        <v>5732</v>
      </c>
      <c r="J40" s="120">
        <f>2334+3+25+2315+718+85</f>
        <v>5480</v>
      </c>
      <c r="K40" s="120">
        <v>252</v>
      </c>
      <c r="L40" s="120">
        <v>2288471</v>
      </c>
      <c r="M40" s="120">
        <v>229106</v>
      </c>
      <c r="N40" s="120">
        <v>329020</v>
      </c>
    </row>
    <row r="41" spans="1:14" ht="15.75">
      <c r="A41" s="154">
        <v>31</v>
      </c>
      <c r="B41" s="157" t="s">
        <v>223</v>
      </c>
      <c r="C41" s="116">
        <f t="shared" si="5"/>
        <v>5</v>
      </c>
      <c r="D41" s="130">
        <v>1</v>
      </c>
      <c r="E41" s="130">
        <v>4</v>
      </c>
      <c r="F41" s="116">
        <f t="shared" si="6"/>
        <v>11</v>
      </c>
      <c r="G41" s="130">
        <v>5</v>
      </c>
      <c r="H41" s="130">
        <v>6</v>
      </c>
      <c r="I41" s="116">
        <f t="shared" si="4"/>
        <v>13546</v>
      </c>
      <c r="J41" s="120">
        <f>2939+1203+365+4098+2222+1753</f>
        <v>12580</v>
      </c>
      <c r="K41" s="120">
        <f>859+52+0+55</f>
        <v>966</v>
      </c>
      <c r="L41" s="120">
        <v>3954266</v>
      </c>
      <c r="M41" s="120">
        <v>139099</v>
      </c>
      <c r="N41" s="120">
        <v>1134643</v>
      </c>
    </row>
    <row r="42" spans="1:14" ht="15.75">
      <c r="A42" s="154">
        <v>32</v>
      </c>
      <c r="B42" s="157" t="s">
        <v>224</v>
      </c>
      <c r="C42" s="116">
        <f t="shared" si="5"/>
        <v>8</v>
      </c>
      <c r="D42" s="130">
        <v>2</v>
      </c>
      <c r="E42" s="130">
        <v>6</v>
      </c>
      <c r="F42" s="116">
        <f t="shared" si="6"/>
        <v>12</v>
      </c>
      <c r="G42" s="130">
        <v>6</v>
      </c>
      <c r="H42" s="130">
        <v>6</v>
      </c>
      <c r="I42" s="116">
        <f t="shared" si="4"/>
        <v>13180</v>
      </c>
      <c r="J42" s="120">
        <f>4005+593+194+6800+1027+266</f>
        <v>12885</v>
      </c>
      <c r="K42" s="120">
        <f>202+68+0+25</f>
        <v>295</v>
      </c>
      <c r="L42" s="120">
        <v>3774248</v>
      </c>
      <c r="M42" s="120">
        <v>60669</v>
      </c>
      <c r="N42" s="120">
        <v>1285752</v>
      </c>
    </row>
    <row r="43" spans="1:14" ht="15.75">
      <c r="A43" s="154">
        <v>33</v>
      </c>
      <c r="B43" s="157" t="s">
        <v>225</v>
      </c>
      <c r="C43" s="116">
        <f t="shared" si="5"/>
        <v>2</v>
      </c>
      <c r="D43" s="130">
        <v>1</v>
      </c>
      <c r="E43" s="130">
        <v>1</v>
      </c>
      <c r="F43" s="116">
        <f t="shared" si="6"/>
        <v>3</v>
      </c>
      <c r="G43" s="130">
        <v>2</v>
      </c>
      <c r="H43" s="130">
        <v>1</v>
      </c>
      <c r="I43" s="116">
        <f t="shared" si="4"/>
        <v>3228</v>
      </c>
      <c r="J43" s="120">
        <f>1236+166+22+1648+56+32</f>
        <v>3160</v>
      </c>
      <c r="K43" s="120">
        <f>57+6+0+5</f>
        <v>68</v>
      </c>
      <c r="L43" s="120">
        <v>1222668</v>
      </c>
      <c r="M43" s="130">
        <v>30160</v>
      </c>
      <c r="N43" s="130">
        <v>608122</v>
      </c>
    </row>
    <row r="44" spans="1:14" ht="15.75">
      <c r="A44" s="154">
        <v>34</v>
      </c>
      <c r="B44" s="157" t="s">
        <v>226</v>
      </c>
      <c r="C44" s="116">
        <f t="shared" si="5"/>
        <v>1</v>
      </c>
      <c r="D44" s="130">
        <v>1</v>
      </c>
      <c r="E44" s="130">
        <v>0</v>
      </c>
      <c r="F44" s="116">
        <f t="shared" si="6"/>
        <v>2</v>
      </c>
      <c r="G44" s="130">
        <v>2</v>
      </c>
      <c r="H44" s="130">
        <v>0</v>
      </c>
      <c r="I44" s="116">
        <f t="shared" si="4"/>
        <v>865</v>
      </c>
      <c r="J44" s="120">
        <f>263+22+0+510+44+13</f>
        <v>852</v>
      </c>
      <c r="K44" s="120">
        <f>2+11+0+0</f>
        <v>13</v>
      </c>
      <c r="L44" s="163">
        <v>346.656</v>
      </c>
      <c r="M44" s="120">
        <v>0</v>
      </c>
      <c r="N44" s="163">
        <v>173.328</v>
      </c>
    </row>
    <row r="45" spans="1:14" ht="15.75">
      <c r="A45" s="154">
        <v>35</v>
      </c>
      <c r="B45" s="157" t="s">
        <v>227</v>
      </c>
      <c r="C45" s="116">
        <f t="shared" si="5"/>
        <v>15</v>
      </c>
      <c r="D45" s="130">
        <v>4</v>
      </c>
      <c r="E45" s="130">
        <v>11</v>
      </c>
      <c r="F45" s="116">
        <f t="shared" si="6"/>
        <v>32</v>
      </c>
      <c r="G45" s="130">
        <v>11</v>
      </c>
      <c r="H45" s="130">
        <v>21</v>
      </c>
      <c r="I45" s="116">
        <f t="shared" si="4"/>
        <v>25812</v>
      </c>
      <c r="J45" s="120">
        <f>7639+596+267+12927+2190+1535</f>
        <v>25154</v>
      </c>
      <c r="K45" s="120">
        <f>527+58+8+65</f>
        <v>658</v>
      </c>
      <c r="L45" s="120">
        <v>6462803</v>
      </c>
      <c r="M45" s="120">
        <v>191448</v>
      </c>
      <c r="N45" s="120">
        <v>1490014</v>
      </c>
    </row>
    <row r="46" spans="1:14" ht="15.75">
      <c r="A46" s="154">
        <v>36</v>
      </c>
      <c r="B46" s="159" t="s">
        <v>229</v>
      </c>
      <c r="C46" s="116">
        <f>D46+E46</f>
        <v>2</v>
      </c>
      <c r="D46" s="130">
        <v>1</v>
      </c>
      <c r="E46" s="130">
        <v>1</v>
      </c>
      <c r="F46" s="116">
        <f>G46+H46</f>
        <v>4</v>
      </c>
      <c r="G46" s="130">
        <v>3</v>
      </c>
      <c r="H46" s="130">
        <v>1</v>
      </c>
      <c r="I46" s="116">
        <f>J46+K46</f>
        <v>3246</v>
      </c>
      <c r="J46" s="120">
        <f>(1342+80+121+798+323+102)</f>
        <v>2766</v>
      </c>
      <c r="K46" s="120">
        <f>(450+10+20)</f>
        <v>480</v>
      </c>
      <c r="L46" s="120">
        <v>927205</v>
      </c>
      <c r="M46" s="120"/>
      <c r="N46" s="120">
        <v>194738</v>
      </c>
    </row>
    <row r="47" spans="1:14" ht="15.75">
      <c r="A47" s="154">
        <v>37</v>
      </c>
      <c r="B47" s="159" t="s">
        <v>230</v>
      </c>
      <c r="C47" s="116">
        <f aca="true" t="shared" si="7" ref="C47:C54">D47+E47</f>
        <v>6</v>
      </c>
      <c r="D47" s="130">
        <v>1</v>
      </c>
      <c r="E47" s="130">
        <v>5</v>
      </c>
      <c r="F47" s="116">
        <f aca="true" t="shared" si="8" ref="F47:F54">G47+H47</f>
        <v>6</v>
      </c>
      <c r="G47" s="130">
        <v>1</v>
      </c>
      <c r="H47" s="130">
        <v>5</v>
      </c>
      <c r="I47" s="116">
        <f aca="true" t="shared" si="9" ref="I47:I54">J47+K47</f>
        <v>1995</v>
      </c>
      <c r="J47" s="120">
        <f>(701+14+76+740+233+158)</f>
        <v>1922</v>
      </c>
      <c r="K47" s="120">
        <f>(63+0+0+10)</f>
        <v>73</v>
      </c>
      <c r="L47" s="130">
        <v>954543</v>
      </c>
      <c r="M47" s="130">
        <v>139488</v>
      </c>
      <c r="N47" s="130">
        <v>148727</v>
      </c>
    </row>
    <row r="48" spans="1:14" ht="15.75">
      <c r="A48" s="154">
        <v>38</v>
      </c>
      <c r="B48" s="159" t="s">
        <v>231</v>
      </c>
      <c r="C48" s="116">
        <f t="shared" si="7"/>
        <v>16</v>
      </c>
      <c r="D48" s="130">
        <v>4</v>
      </c>
      <c r="E48" s="130">
        <v>12</v>
      </c>
      <c r="F48" s="116">
        <f t="shared" si="8"/>
        <v>26</v>
      </c>
      <c r="G48" s="130">
        <v>13</v>
      </c>
      <c r="H48" s="130">
        <v>13</v>
      </c>
      <c r="I48" s="116">
        <f t="shared" si="9"/>
        <v>33753</v>
      </c>
      <c r="J48" s="130">
        <f>(16230+297+518+11127+2922+1391)</f>
        <v>32485</v>
      </c>
      <c r="K48" s="130">
        <f>(1140+32+0+96)</f>
        <v>1268</v>
      </c>
      <c r="L48" s="130">
        <v>6776878</v>
      </c>
      <c r="M48" s="130">
        <v>663710</v>
      </c>
      <c r="N48" s="130">
        <v>2515316</v>
      </c>
    </row>
    <row r="49" spans="1:14" ht="15.75">
      <c r="A49" s="154">
        <v>39</v>
      </c>
      <c r="B49" s="159" t="s">
        <v>232</v>
      </c>
      <c r="C49" s="116">
        <f t="shared" si="7"/>
        <v>4</v>
      </c>
      <c r="D49" s="130">
        <v>1</v>
      </c>
      <c r="E49" s="130">
        <v>3</v>
      </c>
      <c r="F49" s="116">
        <f t="shared" si="8"/>
        <v>6</v>
      </c>
      <c r="G49" s="130">
        <v>2</v>
      </c>
      <c r="H49" s="130">
        <v>4</v>
      </c>
      <c r="I49" s="116">
        <f t="shared" si="9"/>
        <v>4821</v>
      </c>
      <c r="J49" s="130">
        <f>(2019+7+76+1987+439+76)</f>
        <v>4604</v>
      </c>
      <c r="K49" s="130">
        <f>(207+10+0+0)</f>
        <v>217</v>
      </c>
      <c r="L49" s="130">
        <v>1430631</v>
      </c>
      <c r="M49" s="130"/>
      <c r="N49" s="130">
        <v>334947</v>
      </c>
    </row>
    <row r="50" spans="1:14" ht="15.75">
      <c r="A50" s="154">
        <v>40</v>
      </c>
      <c r="B50" s="159" t="s">
        <v>233</v>
      </c>
      <c r="C50" s="116">
        <f t="shared" si="7"/>
        <v>23</v>
      </c>
      <c r="D50" s="130">
        <v>2</v>
      </c>
      <c r="E50" s="130">
        <v>21</v>
      </c>
      <c r="F50" s="116">
        <f t="shared" si="8"/>
        <v>32</v>
      </c>
      <c r="G50" s="130">
        <v>6</v>
      </c>
      <c r="H50" s="130">
        <v>26</v>
      </c>
      <c r="I50" s="116">
        <f>J50+K50</f>
        <v>11199</v>
      </c>
      <c r="J50" s="130">
        <f>(3167+294+1031+4333+1425+332)</f>
        <v>10582</v>
      </c>
      <c r="K50" s="130">
        <f>(517+35+37+28)</f>
        <v>617</v>
      </c>
      <c r="L50" s="130">
        <v>3426099</v>
      </c>
      <c r="M50" s="130"/>
      <c r="N50" s="130">
        <v>654337</v>
      </c>
    </row>
    <row r="51" spans="1:14" ht="15.75">
      <c r="A51" s="154">
        <v>41</v>
      </c>
      <c r="B51" s="159" t="s">
        <v>234</v>
      </c>
      <c r="C51" s="116">
        <f t="shared" si="7"/>
        <v>7</v>
      </c>
      <c r="D51" s="130">
        <v>2</v>
      </c>
      <c r="E51" s="130">
        <v>5</v>
      </c>
      <c r="F51" s="116">
        <f t="shared" si="8"/>
        <v>9</v>
      </c>
      <c r="G51" s="130">
        <v>3</v>
      </c>
      <c r="H51" s="130">
        <v>6</v>
      </c>
      <c r="I51" s="116">
        <f t="shared" si="9"/>
        <v>2015</v>
      </c>
      <c r="J51" s="130">
        <f>(24+7+46+1701+194+28)</f>
        <v>2000</v>
      </c>
      <c r="K51" s="130">
        <f>(1+14+0+0)</f>
        <v>15</v>
      </c>
      <c r="L51" s="130">
        <v>1162087</v>
      </c>
      <c r="M51" s="130"/>
      <c r="N51" s="130">
        <v>111280</v>
      </c>
    </row>
    <row r="52" spans="1:14" ht="15.75">
      <c r="A52" s="154">
        <v>42</v>
      </c>
      <c r="B52" s="159" t="s">
        <v>235</v>
      </c>
      <c r="C52" s="116">
        <f t="shared" si="7"/>
        <v>3</v>
      </c>
      <c r="D52" s="130">
        <v>1</v>
      </c>
      <c r="E52" s="130">
        <v>2</v>
      </c>
      <c r="F52" s="116">
        <f t="shared" si="8"/>
        <v>4</v>
      </c>
      <c r="G52" s="130">
        <v>2</v>
      </c>
      <c r="H52" s="130">
        <v>2</v>
      </c>
      <c r="I52" s="116">
        <f t="shared" si="9"/>
        <v>3777</v>
      </c>
      <c r="J52" s="130">
        <f>(1365+62+76+1531+391+74)</f>
        <v>3499</v>
      </c>
      <c r="K52" s="130">
        <f>(247+16+0+15)</f>
        <v>278</v>
      </c>
      <c r="L52" s="130">
        <v>800773</v>
      </c>
      <c r="M52" s="130"/>
      <c r="N52" s="130">
        <v>237689</v>
      </c>
    </row>
    <row r="53" spans="1:14" ht="15.75">
      <c r="A53" s="154">
        <v>43</v>
      </c>
      <c r="B53" s="159" t="s">
        <v>236</v>
      </c>
      <c r="C53" s="116">
        <f t="shared" si="7"/>
        <v>11</v>
      </c>
      <c r="D53" s="130">
        <v>2</v>
      </c>
      <c r="E53" s="130">
        <v>9</v>
      </c>
      <c r="F53" s="116">
        <f t="shared" si="8"/>
        <v>19</v>
      </c>
      <c r="G53" s="130">
        <v>5</v>
      </c>
      <c r="H53" s="130">
        <v>14</v>
      </c>
      <c r="I53" s="116">
        <f t="shared" si="9"/>
        <v>5102</v>
      </c>
      <c r="J53" s="120">
        <f>(1592+23+80+2045+949+291)</f>
        <v>4980</v>
      </c>
      <c r="K53" s="120">
        <f>(97+0+5+20)</f>
        <v>122</v>
      </c>
      <c r="L53" s="130">
        <v>1319908</v>
      </c>
      <c r="M53" s="130">
        <v>66563</v>
      </c>
      <c r="N53" s="130">
        <v>247495</v>
      </c>
    </row>
    <row r="54" spans="1:14" ht="15.75">
      <c r="A54" s="154">
        <v>44</v>
      </c>
      <c r="B54" s="159" t="s">
        <v>237</v>
      </c>
      <c r="C54" s="116">
        <f t="shared" si="7"/>
        <v>6</v>
      </c>
      <c r="D54" s="130">
        <v>1</v>
      </c>
      <c r="E54" s="130">
        <v>5</v>
      </c>
      <c r="F54" s="116">
        <f t="shared" si="8"/>
        <v>7</v>
      </c>
      <c r="G54" s="130">
        <v>2</v>
      </c>
      <c r="H54" s="130">
        <v>5</v>
      </c>
      <c r="I54" s="116">
        <f t="shared" si="9"/>
        <v>4463</v>
      </c>
      <c r="J54" s="130">
        <f>(821+232+65+2767+387+104)</f>
        <v>4376</v>
      </c>
      <c r="K54" s="130">
        <f>(82+4+1)</f>
        <v>87</v>
      </c>
      <c r="L54" s="130">
        <v>1166892</v>
      </c>
      <c r="M54" s="130">
        <v>2360</v>
      </c>
      <c r="N54" s="130">
        <v>175656</v>
      </c>
    </row>
    <row r="55" spans="1:14" s="117" customFormat="1" ht="15.75">
      <c r="A55" s="154">
        <v>45</v>
      </c>
      <c r="B55" s="160" t="s">
        <v>243</v>
      </c>
      <c r="C55" s="116">
        <f>D55+E55</f>
        <v>2</v>
      </c>
      <c r="D55" s="130">
        <v>1</v>
      </c>
      <c r="E55" s="130">
        <v>1</v>
      </c>
      <c r="F55" s="116">
        <f>G55+H55</f>
        <v>3</v>
      </c>
      <c r="G55" s="130">
        <v>2</v>
      </c>
      <c r="H55" s="130">
        <v>1</v>
      </c>
      <c r="I55" s="116">
        <f>J55+K55</f>
        <v>4618</v>
      </c>
      <c r="J55" s="130">
        <f>1354+31+11+1927+471+440</f>
        <v>4234</v>
      </c>
      <c r="K55" s="130">
        <f>281+1+1+101</f>
        <v>384</v>
      </c>
      <c r="L55" s="130">
        <v>1504840.5</v>
      </c>
      <c r="M55" s="130">
        <v>148148</v>
      </c>
      <c r="N55" s="130">
        <v>513108.75</v>
      </c>
    </row>
    <row r="56" spans="1:14" s="117" customFormat="1" ht="15.75">
      <c r="A56" s="154">
        <v>46</v>
      </c>
      <c r="B56" s="160" t="s">
        <v>244</v>
      </c>
      <c r="C56" s="116">
        <f aca="true" t="shared" si="10" ref="C56:C73">D56+E56</f>
        <v>9</v>
      </c>
      <c r="D56" s="130">
        <v>2</v>
      </c>
      <c r="E56" s="130">
        <v>7</v>
      </c>
      <c r="F56" s="116">
        <f aca="true" t="shared" si="11" ref="F56:F73">G56+H56</f>
        <v>11</v>
      </c>
      <c r="G56" s="130">
        <v>4</v>
      </c>
      <c r="H56" s="130">
        <v>7</v>
      </c>
      <c r="I56" s="116">
        <f aca="true" t="shared" si="12" ref="I56:I73">J56+K56</f>
        <v>5628</v>
      </c>
      <c r="J56" s="130">
        <f>2405+311+282+1417+547+193</f>
        <v>5155</v>
      </c>
      <c r="K56" s="130">
        <f>385+32+16+40</f>
        <v>473</v>
      </c>
      <c r="L56" s="130">
        <v>2654312</v>
      </c>
      <c r="M56" s="130">
        <v>247485</v>
      </c>
      <c r="N56" s="130">
        <v>543184</v>
      </c>
    </row>
    <row r="57" spans="1:14" s="117" customFormat="1" ht="15.75">
      <c r="A57" s="154">
        <v>47</v>
      </c>
      <c r="B57" s="160" t="s">
        <v>245</v>
      </c>
      <c r="C57" s="116">
        <f t="shared" si="10"/>
        <v>2</v>
      </c>
      <c r="D57" s="130">
        <v>1</v>
      </c>
      <c r="E57" s="130">
        <v>1</v>
      </c>
      <c r="F57" s="116">
        <f t="shared" si="11"/>
        <v>4</v>
      </c>
      <c r="G57" s="130">
        <v>3</v>
      </c>
      <c r="H57" s="130">
        <v>1</v>
      </c>
      <c r="I57" s="116">
        <f t="shared" si="12"/>
        <v>2689</v>
      </c>
      <c r="J57" s="130">
        <f>793+309+22+1194+240+42</f>
        <v>2600</v>
      </c>
      <c r="K57" s="130">
        <f>80+0+0+9</f>
        <v>89</v>
      </c>
      <c r="L57" s="130">
        <v>1087785</v>
      </c>
      <c r="M57" s="130">
        <v>181909</v>
      </c>
      <c r="N57" s="130">
        <v>471304</v>
      </c>
    </row>
    <row r="58" spans="1:14" s="117" customFormat="1" ht="15.75">
      <c r="A58" s="154">
        <v>48</v>
      </c>
      <c r="B58" s="160" t="s">
        <v>246</v>
      </c>
      <c r="C58" s="116">
        <f t="shared" si="10"/>
        <v>7</v>
      </c>
      <c r="D58" s="130">
        <v>3</v>
      </c>
      <c r="E58" s="130">
        <v>4</v>
      </c>
      <c r="F58" s="116">
        <v>17</v>
      </c>
      <c r="G58" s="130">
        <v>10</v>
      </c>
      <c r="H58" s="130">
        <v>7</v>
      </c>
      <c r="I58" s="116">
        <v>12697</v>
      </c>
      <c r="J58" s="130">
        <f>5407+83+232+4702+1155+584</f>
        <v>12163</v>
      </c>
      <c r="K58" s="130">
        <f>351+0+0+183</f>
        <v>534</v>
      </c>
      <c r="L58" s="130">
        <v>6481735</v>
      </c>
      <c r="M58" s="130">
        <v>623219</v>
      </c>
      <c r="N58" s="130">
        <v>1826742</v>
      </c>
    </row>
    <row r="59" spans="1:14" s="117" customFormat="1" ht="15.75">
      <c r="A59" s="154">
        <v>49</v>
      </c>
      <c r="B59" s="160" t="s">
        <v>247</v>
      </c>
      <c r="C59" s="116">
        <f t="shared" si="10"/>
        <v>3</v>
      </c>
      <c r="D59" s="130">
        <v>1</v>
      </c>
      <c r="E59" s="130">
        <v>2</v>
      </c>
      <c r="F59" s="116">
        <f t="shared" si="11"/>
        <v>5</v>
      </c>
      <c r="G59" s="130">
        <v>3</v>
      </c>
      <c r="H59" s="130">
        <v>2</v>
      </c>
      <c r="I59" s="116">
        <f t="shared" si="12"/>
        <v>3545</v>
      </c>
      <c r="J59" s="130">
        <f>907+21+99+2228+111+45</f>
        <v>3411</v>
      </c>
      <c r="K59" s="130">
        <f>112+10+12</f>
        <v>134</v>
      </c>
      <c r="L59" s="130">
        <v>1027199</v>
      </c>
      <c r="M59" s="130">
        <v>59430</v>
      </c>
      <c r="N59" s="130">
        <v>713396</v>
      </c>
    </row>
    <row r="60" spans="1:14" s="117" customFormat="1" ht="15.75">
      <c r="A60" s="154">
        <v>50</v>
      </c>
      <c r="B60" s="160" t="s">
        <v>248</v>
      </c>
      <c r="C60" s="116">
        <f t="shared" si="10"/>
        <v>5</v>
      </c>
      <c r="D60" s="130">
        <v>1</v>
      </c>
      <c r="E60" s="130">
        <v>4</v>
      </c>
      <c r="F60" s="116">
        <f t="shared" si="11"/>
        <v>6</v>
      </c>
      <c r="G60" s="130">
        <v>2</v>
      </c>
      <c r="H60" s="130">
        <v>4</v>
      </c>
      <c r="I60" s="116">
        <f t="shared" si="12"/>
        <v>6744</v>
      </c>
      <c r="J60" s="130">
        <f>2080+52+116+3885+204+300</f>
        <v>6637</v>
      </c>
      <c r="K60" s="130">
        <f>78+5+0+24</f>
        <v>107</v>
      </c>
      <c r="L60" s="130">
        <v>1592439.1</v>
      </c>
      <c r="M60" s="130">
        <v>62250</v>
      </c>
      <c r="N60" s="130">
        <v>230266.291</v>
      </c>
    </row>
    <row r="61" spans="1:14" s="117" customFormat="1" ht="15.75">
      <c r="A61" s="154">
        <v>51</v>
      </c>
      <c r="B61" s="161" t="s">
        <v>249</v>
      </c>
      <c r="C61" s="116">
        <f t="shared" si="10"/>
        <v>6</v>
      </c>
      <c r="D61" s="130">
        <v>3</v>
      </c>
      <c r="E61" s="130">
        <v>3</v>
      </c>
      <c r="F61" s="116">
        <f t="shared" si="11"/>
        <v>9</v>
      </c>
      <c r="G61" s="130">
        <v>6</v>
      </c>
      <c r="H61" s="130">
        <v>3</v>
      </c>
      <c r="I61" s="116">
        <f t="shared" si="12"/>
        <v>4035</v>
      </c>
      <c r="J61" s="130">
        <f>966+36+80+2268+483+81</f>
        <v>3914</v>
      </c>
      <c r="K61" s="130">
        <f>117+1+0+3</f>
        <v>121</v>
      </c>
      <c r="L61" s="130">
        <v>975460</v>
      </c>
      <c r="M61" s="130">
        <v>0</v>
      </c>
      <c r="N61" s="130">
        <v>443831</v>
      </c>
    </row>
    <row r="62" spans="1:14" s="117" customFormat="1" ht="15.75">
      <c r="A62" s="154">
        <v>52</v>
      </c>
      <c r="B62" s="161" t="s">
        <v>250</v>
      </c>
      <c r="C62" s="116">
        <f t="shared" si="10"/>
        <v>6</v>
      </c>
      <c r="D62" s="130">
        <v>3</v>
      </c>
      <c r="E62" s="130">
        <v>3</v>
      </c>
      <c r="F62" s="116">
        <f t="shared" si="11"/>
        <v>9</v>
      </c>
      <c r="G62" s="130">
        <v>6</v>
      </c>
      <c r="H62" s="130">
        <v>3</v>
      </c>
      <c r="I62" s="116">
        <f t="shared" si="12"/>
        <v>19681</v>
      </c>
      <c r="J62" s="130">
        <f>5498+470+261+11821+400+374</f>
        <v>18824</v>
      </c>
      <c r="K62" s="130">
        <f>791+24+5+37</f>
        <v>857</v>
      </c>
      <c r="L62" s="130">
        <v>4215808</v>
      </c>
      <c r="M62" s="130">
        <v>688092</v>
      </c>
      <c r="N62" s="130">
        <v>1866806</v>
      </c>
    </row>
    <row r="63" spans="1:14" s="117" customFormat="1" ht="15.75">
      <c r="A63" s="154">
        <v>53</v>
      </c>
      <c r="B63" s="161" t="s">
        <v>251</v>
      </c>
      <c r="C63" s="116">
        <f t="shared" si="10"/>
        <v>6</v>
      </c>
      <c r="D63" s="130">
        <v>1</v>
      </c>
      <c r="E63" s="130">
        <v>5</v>
      </c>
      <c r="F63" s="116">
        <f t="shared" si="11"/>
        <v>9</v>
      </c>
      <c r="G63" s="130">
        <v>2</v>
      </c>
      <c r="H63" s="130">
        <v>7</v>
      </c>
      <c r="I63" s="116">
        <f t="shared" si="12"/>
        <v>1730</v>
      </c>
      <c r="J63" s="130">
        <f>999+338+0+45+138+63</f>
        <v>1583</v>
      </c>
      <c r="K63" s="130">
        <f>147+0+0+0</f>
        <v>147</v>
      </c>
      <c r="L63" s="130">
        <v>527000</v>
      </c>
      <c r="M63" s="130">
        <v>0</v>
      </c>
      <c r="N63" s="130">
        <v>199020</v>
      </c>
    </row>
    <row r="64" spans="1:14" s="117" customFormat="1" ht="15.75">
      <c r="A64" s="156">
        <v>54</v>
      </c>
      <c r="B64" s="162" t="s">
        <v>252</v>
      </c>
      <c r="C64" s="116">
        <f t="shared" si="10"/>
        <v>6</v>
      </c>
      <c r="D64" s="130">
        <v>2</v>
      </c>
      <c r="E64" s="130">
        <v>4</v>
      </c>
      <c r="F64" s="116">
        <f t="shared" si="11"/>
        <v>10</v>
      </c>
      <c r="G64" s="130">
        <v>6</v>
      </c>
      <c r="H64" s="130">
        <v>4</v>
      </c>
      <c r="I64" s="116">
        <f t="shared" si="12"/>
        <v>5515</v>
      </c>
      <c r="J64" s="120">
        <f>510+46+57+3872+798+20</f>
        <v>5303</v>
      </c>
      <c r="K64" s="120">
        <f>211+1+0+0</f>
        <v>212</v>
      </c>
      <c r="L64" s="120">
        <v>1848704</v>
      </c>
      <c r="M64" s="120">
        <v>0</v>
      </c>
      <c r="N64" s="120">
        <v>498769</v>
      </c>
    </row>
    <row r="65" spans="1:14" s="117" customFormat="1" ht="15.75">
      <c r="A65" s="154">
        <v>55</v>
      </c>
      <c r="B65" s="161" t="s">
        <v>253</v>
      </c>
      <c r="C65" s="116">
        <f t="shared" si="10"/>
        <v>24</v>
      </c>
      <c r="D65" s="130">
        <v>3</v>
      </c>
      <c r="E65" s="130">
        <v>21</v>
      </c>
      <c r="F65" s="116">
        <f t="shared" si="11"/>
        <v>30</v>
      </c>
      <c r="G65" s="130">
        <v>4</v>
      </c>
      <c r="H65" s="130">
        <v>26</v>
      </c>
      <c r="I65" s="116">
        <f t="shared" si="12"/>
        <v>21657</v>
      </c>
      <c r="J65" s="120">
        <f>14578+40+58+3332+857+2284</f>
        <v>21149</v>
      </c>
      <c r="K65" s="120">
        <f>398+0+7+103</f>
        <v>508</v>
      </c>
      <c r="L65" s="120">
        <v>4742398</v>
      </c>
      <c r="M65" s="120">
        <v>569334</v>
      </c>
      <c r="N65" s="120">
        <v>1271157</v>
      </c>
    </row>
    <row r="66" spans="1:14" s="117" customFormat="1" ht="15.75">
      <c r="A66" s="154">
        <v>56</v>
      </c>
      <c r="B66" s="161" t="s">
        <v>254</v>
      </c>
      <c r="C66" s="116">
        <v>4</v>
      </c>
      <c r="D66" s="130">
        <v>2</v>
      </c>
      <c r="E66" s="130">
        <v>2</v>
      </c>
      <c r="F66" s="116">
        <v>11</v>
      </c>
      <c r="G66" s="130">
        <v>8</v>
      </c>
      <c r="H66" s="130">
        <v>3</v>
      </c>
      <c r="I66" s="116">
        <v>5347</v>
      </c>
      <c r="J66" s="120">
        <f>1576+251+85+2146+759+262</f>
        <v>5079</v>
      </c>
      <c r="K66" s="120">
        <f>233+3+9+23</f>
        <v>268</v>
      </c>
      <c r="L66" s="120">
        <v>2009404</v>
      </c>
      <c r="M66" s="120">
        <v>283772</v>
      </c>
      <c r="N66" s="120">
        <v>982008</v>
      </c>
    </row>
    <row r="67" spans="1:14" s="117" customFormat="1" ht="15.75">
      <c r="A67" s="154">
        <v>57</v>
      </c>
      <c r="B67" s="161" t="s">
        <v>255</v>
      </c>
      <c r="C67" s="116">
        <f t="shared" si="10"/>
        <v>9</v>
      </c>
      <c r="D67" s="130">
        <v>3</v>
      </c>
      <c r="E67" s="130">
        <v>6</v>
      </c>
      <c r="F67" s="116">
        <f t="shared" si="11"/>
        <v>14</v>
      </c>
      <c r="G67" s="130">
        <v>8</v>
      </c>
      <c r="H67" s="130">
        <v>6</v>
      </c>
      <c r="I67" s="116">
        <f t="shared" si="12"/>
        <v>17501</v>
      </c>
      <c r="J67" s="120">
        <f>2743+4605+31+409+226+353+2581+3116+825+945+341+585</f>
        <v>16760</v>
      </c>
      <c r="K67" s="120">
        <f>292+423+16+0+10</f>
        <v>741</v>
      </c>
      <c r="L67" s="120">
        <f>2285142+1916000</f>
        <v>4201142</v>
      </c>
      <c r="M67" s="120">
        <f>236000+483000</f>
        <v>719000</v>
      </c>
      <c r="N67" s="120">
        <f>1157000+194921</f>
        <v>1351921</v>
      </c>
    </row>
    <row r="68" spans="1:14" s="117" customFormat="1" ht="15.75">
      <c r="A68" s="154">
        <v>58</v>
      </c>
      <c r="B68" s="161" t="s">
        <v>256</v>
      </c>
      <c r="C68" s="116">
        <f t="shared" si="10"/>
        <v>29</v>
      </c>
      <c r="D68" s="130">
        <v>7</v>
      </c>
      <c r="E68" s="130">
        <v>22</v>
      </c>
      <c r="F68" s="116">
        <f t="shared" si="11"/>
        <v>130</v>
      </c>
      <c r="G68" s="130">
        <v>65</v>
      </c>
      <c r="H68" s="130">
        <v>65</v>
      </c>
      <c r="I68" s="116">
        <f t="shared" si="12"/>
        <v>216108</v>
      </c>
      <c r="J68" s="120">
        <f>58217+16562+10994+40376+57838+18556</f>
        <v>202543</v>
      </c>
      <c r="K68" s="120">
        <f>9972+68+2+3523</f>
        <v>13565</v>
      </c>
      <c r="L68" s="120">
        <v>86034460</v>
      </c>
      <c r="M68" s="120">
        <v>9555196</v>
      </c>
      <c r="N68" s="120">
        <v>33328468</v>
      </c>
    </row>
    <row r="69" spans="1:14" s="117" customFormat="1" ht="15.75">
      <c r="A69" s="154">
        <v>59</v>
      </c>
      <c r="B69" s="161" t="s">
        <v>257</v>
      </c>
      <c r="C69" s="116">
        <f t="shared" si="10"/>
        <v>5</v>
      </c>
      <c r="D69" s="130">
        <v>1</v>
      </c>
      <c r="E69" s="130">
        <v>4</v>
      </c>
      <c r="F69" s="116">
        <f t="shared" si="11"/>
        <v>8</v>
      </c>
      <c r="G69" s="130">
        <v>4</v>
      </c>
      <c r="H69" s="130">
        <v>4</v>
      </c>
      <c r="I69" s="116">
        <f t="shared" si="12"/>
        <v>4971</v>
      </c>
      <c r="J69" s="120">
        <f>1552+235+107+2029+270+592</f>
        <v>4785</v>
      </c>
      <c r="K69" s="120">
        <f>164+18+0+4</f>
        <v>186</v>
      </c>
      <c r="L69" s="120">
        <v>617643.95</v>
      </c>
      <c r="M69" s="120">
        <v>3550</v>
      </c>
      <c r="N69" s="120">
        <v>2672465</v>
      </c>
    </row>
    <row r="70" spans="1:14" s="117" customFormat="1" ht="15.75">
      <c r="A70" s="154">
        <v>60</v>
      </c>
      <c r="B70" s="161" t="s">
        <v>258</v>
      </c>
      <c r="C70" s="116">
        <f t="shared" si="10"/>
        <v>1</v>
      </c>
      <c r="D70" s="120">
        <v>1</v>
      </c>
      <c r="E70" s="130">
        <v>0</v>
      </c>
      <c r="F70" s="116">
        <v>3</v>
      </c>
      <c r="G70" s="130">
        <v>3</v>
      </c>
      <c r="H70" s="130">
        <v>0</v>
      </c>
      <c r="I70" s="116">
        <v>2008</v>
      </c>
      <c r="J70" s="120">
        <f>375+306+82+944+131+104</f>
        <v>1942</v>
      </c>
      <c r="K70" s="120">
        <f>55+0+10+1</f>
        <v>66</v>
      </c>
      <c r="L70" s="120">
        <v>727724</v>
      </c>
      <c r="M70" s="120">
        <v>0</v>
      </c>
      <c r="N70" s="120">
        <v>363862</v>
      </c>
    </row>
    <row r="71" spans="1:14" s="117" customFormat="1" ht="15.75">
      <c r="A71" s="154">
        <v>61</v>
      </c>
      <c r="B71" s="161" t="s">
        <v>259</v>
      </c>
      <c r="C71" s="116">
        <f t="shared" si="10"/>
        <v>6</v>
      </c>
      <c r="D71" s="130">
        <v>2</v>
      </c>
      <c r="E71" s="130">
        <v>4</v>
      </c>
      <c r="F71" s="116">
        <f>G71+H71</f>
        <v>9</v>
      </c>
      <c r="G71" s="130">
        <v>5</v>
      </c>
      <c r="H71" s="130">
        <v>4</v>
      </c>
      <c r="I71" s="116">
        <f t="shared" si="12"/>
        <v>9969</v>
      </c>
      <c r="J71" s="120">
        <f>3998+162+338+2445+1080+1502</f>
        <v>9525</v>
      </c>
      <c r="K71" s="120">
        <f>435+3+2+4</f>
        <v>444</v>
      </c>
      <c r="L71" s="120">
        <v>1842543.8</v>
      </c>
      <c r="M71" s="120">
        <v>0</v>
      </c>
      <c r="N71" s="120">
        <v>918382.4</v>
      </c>
    </row>
    <row r="72" spans="1:14" s="117" customFormat="1" ht="18.75" customHeight="1">
      <c r="A72" s="154">
        <v>62</v>
      </c>
      <c r="B72" s="161" t="s">
        <v>260</v>
      </c>
      <c r="C72" s="116">
        <f t="shared" si="10"/>
        <v>15</v>
      </c>
      <c r="D72" s="130">
        <v>3</v>
      </c>
      <c r="E72" s="130">
        <v>12</v>
      </c>
      <c r="F72" s="116">
        <v>18</v>
      </c>
      <c r="G72" s="130">
        <v>6</v>
      </c>
      <c r="H72" s="130">
        <v>12</v>
      </c>
      <c r="I72" s="116">
        <v>17798</v>
      </c>
      <c r="J72" s="120">
        <f>5844+346+626+4956+3515+1593</f>
        <v>16880</v>
      </c>
      <c r="K72" s="120">
        <f>536+319+6+57</f>
        <v>918</v>
      </c>
      <c r="L72" s="120">
        <v>3032141.4</v>
      </c>
      <c r="M72" s="120">
        <v>134052</v>
      </c>
      <c r="N72" s="120">
        <v>498389.782</v>
      </c>
    </row>
    <row r="73" spans="1:14" s="117" customFormat="1" ht="15.75">
      <c r="A73" s="154">
        <v>63</v>
      </c>
      <c r="B73" s="161" t="s">
        <v>261</v>
      </c>
      <c r="C73" s="116">
        <f t="shared" si="10"/>
        <v>2</v>
      </c>
      <c r="D73" s="120">
        <v>2</v>
      </c>
      <c r="E73" s="120">
        <v>0</v>
      </c>
      <c r="F73" s="116">
        <f t="shared" si="11"/>
        <v>5</v>
      </c>
      <c r="G73" s="120">
        <v>5</v>
      </c>
      <c r="H73" s="120">
        <v>0</v>
      </c>
      <c r="I73" s="116">
        <f t="shared" si="12"/>
        <v>3215</v>
      </c>
      <c r="J73" s="120">
        <f>1276+42+73+1364+83+97</f>
        <v>2935</v>
      </c>
      <c r="K73" s="120">
        <f>100+175+0+5</f>
        <v>280</v>
      </c>
      <c r="L73" s="120">
        <v>737997</v>
      </c>
      <c r="M73" s="120">
        <v>10730</v>
      </c>
      <c r="N73" s="120">
        <v>370626</v>
      </c>
    </row>
    <row r="74" ht="12.75" customHeight="1"/>
    <row r="75" spans="1:14" s="22" customFormat="1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9" s="210" customFormat="1" ht="12.75">
      <c r="A76" s="47"/>
      <c r="B76" s="47" t="s">
        <v>264</v>
      </c>
      <c r="C76" s="47" t="s">
        <v>286</v>
      </c>
      <c r="D76" s="47"/>
      <c r="E76" s="47"/>
      <c r="F76" s="47"/>
      <c r="G76" s="47"/>
      <c r="H76" s="47"/>
      <c r="I76" s="47"/>
      <c r="J76" s="47"/>
      <c r="K76" s="212"/>
      <c r="L76" s="47"/>
      <c r="M76" s="47"/>
      <c r="N76" s="47"/>
      <c r="O76" s="47"/>
      <c r="P76" s="213"/>
      <c r="Q76" s="213"/>
      <c r="R76" s="213"/>
      <c r="S76" s="213"/>
    </row>
    <row r="77" spans="1:14" s="211" customFormat="1" ht="12.75">
      <c r="A77" s="47"/>
      <c r="B77" s="47" t="s">
        <v>293</v>
      </c>
      <c r="C77" s="47" t="s">
        <v>296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</row>
    <row r="78" spans="1:19" s="211" customFormat="1" ht="16.5" customHeight="1">
      <c r="A78" s="47"/>
      <c r="B78" s="210" t="s">
        <v>289</v>
      </c>
      <c r="C78" s="47" t="s">
        <v>287</v>
      </c>
      <c r="F78" s="47"/>
      <c r="G78" s="47"/>
      <c r="H78" s="47"/>
      <c r="I78" s="47"/>
      <c r="J78" s="47"/>
      <c r="K78" s="212"/>
      <c r="L78" s="47"/>
      <c r="M78" s="47"/>
      <c r="N78" s="47"/>
      <c r="O78" s="47"/>
      <c r="P78" s="213"/>
      <c r="Q78" s="214"/>
      <c r="R78" s="214"/>
      <c r="S78" s="214"/>
    </row>
    <row r="79" spans="1:19" s="211" customFormat="1" ht="12.75">
      <c r="A79" s="47"/>
      <c r="B79" s="47" t="s">
        <v>295</v>
      </c>
      <c r="C79" s="224" t="s">
        <v>299</v>
      </c>
      <c r="D79" s="225"/>
      <c r="E79" s="224"/>
      <c r="F79" s="224"/>
      <c r="G79" s="224"/>
      <c r="H79" s="224"/>
      <c r="I79" s="224"/>
      <c r="J79" s="224"/>
      <c r="K79" s="226"/>
      <c r="L79" s="47"/>
      <c r="M79" s="47"/>
      <c r="N79" s="47"/>
      <c r="O79" s="47"/>
      <c r="P79" s="213"/>
      <c r="Q79" s="214"/>
      <c r="R79" s="214"/>
      <c r="S79" s="214"/>
    </row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21.75" customHeight="1"/>
  </sheetData>
  <sheetProtection/>
  <mergeCells count="19">
    <mergeCell ref="A10:B10"/>
    <mergeCell ref="M6:M8"/>
    <mergeCell ref="A6:B8"/>
    <mergeCell ref="A3:N3"/>
    <mergeCell ref="A4:N4"/>
    <mergeCell ref="N6:N8"/>
    <mergeCell ref="J7:K7"/>
    <mergeCell ref="I7:I8"/>
    <mergeCell ref="G7:H7"/>
    <mergeCell ref="A9:B9"/>
    <mergeCell ref="A1:B1"/>
    <mergeCell ref="I6:K6"/>
    <mergeCell ref="L6:L8"/>
    <mergeCell ref="A2:N2"/>
    <mergeCell ref="C6:E6"/>
    <mergeCell ref="C7:C8"/>
    <mergeCell ref="D7:E7"/>
    <mergeCell ref="F6:H6"/>
    <mergeCell ref="F7:F8"/>
  </mergeCells>
  <printOptions/>
  <pageMargins left="0.75" right="0.5" top="0.75" bottom="0.5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66"/>
  <sheetViews>
    <sheetView zoomScalePageLayoutView="0" workbookViewId="0" topLeftCell="A65">
      <selection activeCell="B83" sqref="B83:C83"/>
    </sheetView>
  </sheetViews>
  <sheetFormatPr defaultColWidth="9.140625" defaultRowHeight="12.75"/>
  <cols>
    <col min="1" max="1" width="4.57421875" style="0" customWidth="1"/>
    <col min="2" max="2" width="10.7109375" style="0" customWidth="1"/>
    <col min="3" max="3" width="6.57421875" style="0" customWidth="1"/>
    <col min="4" max="4" width="6.8515625" style="0" customWidth="1"/>
    <col min="5" max="5" width="7.00390625" style="0" customWidth="1"/>
    <col min="6" max="6" width="6.57421875" style="0" customWidth="1"/>
    <col min="7" max="7" width="6.8515625" style="0" customWidth="1"/>
    <col min="8" max="9" width="10.57421875" style="0" customWidth="1"/>
    <col min="10" max="10" width="6.28125" style="0" customWidth="1"/>
    <col min="11" max="11" width="6.57421875" style="0" customWidth="1"/>
    <col min="12" max="13" width="5.28125" style="0" customWidth="1"/>
    <col min="14" max="14" width="5.7109375" style="0" customWidth="1"/>
    <col min="15" max="15" width="6.00390625" style="0" customWidth="1"/>
    <col min="16" max="16" width="5.7109375" style="0" customWidth="1"/>
    <col min="17" max="17" width="6.28125" style="0" customWidth="1"/>
    <col min="18" max="18" width="10.8515625" style="0" customWidth="1"/>
    <col min="19" max="19" width="11.00390625" style="0" customWidth="1"/>
  </cols>
  <sheetData>
    <row r="1" spans="1:19" ht="18.75">
      <c r="A1" s="434" t="s">
        <v>7</v>
      </c>
      <c r="B1" s="434"/>
      <c r="L1" s="51"/>
      <c r="M1" s="51"/>
      <c r="N1" s="51"/>
      <c r="O1" s="51"/>
      <c r="P1" s="51"/>
      <c r="Q1" s="51"/>
      <c r="R1" s="51"/>
      <c r="S1" s="51"/>
    </row>
    <row r="2" spans="1:19" ht="18.75">
      <c r="A2" s="433" t="s">
        <v>89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</row>
    <row r="3" spans="1:19" ht="18.75">
      <c r="A3" s="422" t="s">
        <v>149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</row>
    <row r="4" spans="1:19" ht="18.75">
      <c r="A4" s="435" t="s">
        <v>174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</row>
    <row r="5" spans="1:19" ht="18.75">
      <c r="A5" s="19"/>
      <c r="B5" s="1"/>
      <c r="L5" s="70"/>
      <c r="M5" s="70"/>
      <c r="N5" s="70"/>
      <c r="O5" s="70"/>
      <c r="P5" s="70"/>
      <c r="Q5" s="70"/>
      <c r="R5" s="70"/>
      <c r="S5" s="70"/>
    </row>
    <row r="6" spans="1:19" s="36" customFormat="1" ht="24.75" customHeight="1">
      <c r="A6" s="442"/>
      <c r="B6" s="443"/>
      <c r="C6" s="425" t="s">
        <v>142</v>
      </c>
      <c r="D6" s="425"/>
      <c r="E6" s="425"/>
      <c r="F6" s="425"/>
      <c r="G6" s="425"/>
      <c r="H6" s="425"/>
      <c r="I6" s="425"/>
      <c r="J6" s="425"/>
      <c r="K6" s="425"/>
      <c r="L6" s="447" t="s">
        <v>6</v>
      </c>
      <c r="M6" s="448"/>
      <c r="N6" s="448"/>
      <c r="O6" s="448"/>
      <c r="P6" s="448"/>
      <c r="Q6" s="448"/>
      <c r="R6" s="448"/>
      <c r="S6" s="449"/>
    </row>
    <row r="7" spans="1:19" s="36" customFormat="1" ht="24.75" customHeight="1">
      <c r="A7" s="444"/>
      <c r="B7" s="445"/>
      <c r="C7" s="425" t="s">
        <v>3</v>
      </c>
      <c r="D7" s="425"/>
      <c r="E7" s="425"/>
      <c r="F7" s="425"/>
      <c r="G7" s="425"/>
      <c r="H7" s="425"/>
      <c r="I7" s="425"/>
      <c r="J7" s="425" t="s">
        <v>163</v>
      </c>
      <c r="K7" s="425"/>
      <c r="L7" s="450"/>
      <c r="M7" s="451"/>
      <c r="N7" s="451"/>
      <c r="O7" s="451"/>
      <c r="P7" s="451"/>
      <c r="Q7" s="451"/>
      <c r="R7" s="451"/>
      <c r="S7" s="452"/>
    </row>
    <row r="8" spans="1:19" s="36" customFormat="1" ht="44.25" customHeight="1">
      <c r="A8" s="444"/>
      <c r="B8" s="445"/>
      <c r="C8" s="425" t="s">
        <v>310</v>
      </c>
      <c r="D8" s="425" t="s">
        <v>311</v>
      </c>
      <c r="E8" s="427" t="s">
        <v>312</v>
      </c>
      <c r="F8" s="427"/>
      <c r="G8" s="427"/>
      <c r="H8" s="425" t="s">
        <v>313</v>
      </c>
      <c r="I8" s="425"/>
      <c r="J8" s="425" t="s">
        <v>314</v>
      </c>
      <c r="K8" s="425" t="s">
        <v>315</v>
      </c>
      <c r="L8" s="439" t="s">
        <v>316</v>
      </c>
      <c r="M8" s="439" t="s">
        <v>320</v>
      </c>
      <c r="N8" s="439" t="s">
        <v>317</v>
      </c>
      <c r="O8" s="439"/>
      <c r="P8" s="439" t="s">
        <v>318</v>
      </c>
      <c r="Q8" s="439"/>
      <c r="R8" s="439" t="s">
        <v>319</v>
      </c>
      <c r="S8" s="439"/>
    </row>
    <row r="9" spans="1:19" s="36" customFormat="1" ht="12.75">
      <c r="A9" s="444"/>
      <c r="B9" s="445"/>
      <c r="C9" s="425"/>
      <c r="D9" s="425"/>
      <c r="E9" s="426" t="s">
        <v>9</v>
      </c>
      <c r="F9" s="429" t="s">
        <v>78</v>
      </c>
      <c r="G9" s="429"/>
      <c r="H9" s="426" t="s">
        <v>9</v>
      </c>
      <c r="I9" s="426" t="s">
        <v>81</v>
      </c>
      <c r="J9" s="425"/>
      <c r="K9" s="425"/>
      <c r="L9" s="439"/>
      <c r="M9" s="439"/>
      <c r="N9" s="426" t="s">
        <v>9</v>
      </c>
      <c r="O9" s="426" t="s">
        <v>83</v>
      </c>
      <c r="P9" s="437" t="s">
        <v>9</v>
      </c>
      <c r="Q9" s="437" t="s">
        <v>84</v>
      </c>
      <c r="R9" s="437" t="s">
        <v>9</v>
      </c>
      <c r="S9" s="437" t="s">
        <v>27</v>
      </c>
    </row>
    <row r="10" spans="1:19" s="36" customFormat="1" ht="76.5" customHeight="1">
      <c r="A10" s="444"/>
      <c r="B10" s="445"/>
      <c r="C10" s="425"/>
      <c r="D10" s="425"/>
      <c r="E10" s="426"/>
      <c r="F10" s="94" t="s">
        <v>79</v>
      </c>
      <c r="G10" s="94" t="s">
        <v>80</v>
      </c>
      <c r="H10" s="426"/>
      <c r="I10" s="426"/>
      <c r="J10" s="425"/>
      <c r="K10" s="425"/>
      <c r="L10" s="440"/>
      <c r="M10" s="440"/>
      <c r="N10" s="441"/>
      <c r="O10" s="441"/>
      <c r="P10" s="438"/>
      <c r="Q10" s="438"/>
      <c r="R10" s="438"/>
      <c r="S10" s="438"/>
    </row>
    <row r="11" spans="1:19" s="36" customFormat="1" ht="12.75">
      <c r="A11" s="430" t="s">
        <v>40</v>
      </c>
      <c r="B11" s="430"/>
      <c r="C11" s="262">
        <v>1</v>
      </c>
      <c r="D11" s="262">
        <v>2</v>
      </c>
      <c r="E11" s="262">
        <v>3</v>
      </c>
      <c r="F11" s="262">
        <v>4</v>
      </c>
      <c r="G11" s="262">
        <v>5</v>
      </c>
      <c r="H11" s="262">
        <v>6</v>
      </c>
      <c r="I11" s="262">
        <v>7</v>
      </c>
      <c r="J11" s="262">
        <v>8</v>
      </c>
      <c r="K11" s="262">
        <v>9</v>
      </c>
      <c r="L11" s="262">
        <v>10</v>
      </c>
      <c r="M11" s="262">
        <v>11</v>
      </c>
      <c r="N11" s="262">
        <v>12</v>
      </c>
      <c r="O11" s="262">
        <v>13</v>
      </c>
      <c r="P11" s="262">
        <v>14</v>
      </c>
      <c r="Q11" s="262">
        <v>15</v>
      </c>
      <c r="R11" s="262">
        <v>16</v>
      </c>
      <c r="S11" s="262">
        <v>17</v>
      </c>
    </row>
    <row r="12" spans="1:19" s="36" customFormat="1" ht="27.75" customHeight="1">
      <c r="A12" s="431" t="s">
        <v>97</v>
      </c>
      <c r="B12" s="432"/>
      <c r="C12" s="263">
        <f aca="true" t="shared" si="0" ref="C12:S12">SUM(C13:C75)</f>
        <v>2888</v>
      </c>
      <c r="D12" s="263">
        <f t="shared" si="0"/>
        <v>7290</v>
      </c>
      <c r="E12" s="263">
        <f t="shared" si="0"/>
        <v>65348</v>
      </c>
      <c r="F12" s="263">
        <f t="shared" si="0"/>
        <v>12905</v>
      </c>
      <c r="G12" s="263">
        <f t="shared" si="0"/>
        <v>34020</v>
      </c>
      <c r="H12" s="263">
        <f t="shared" si="0"/>
        <v>511841659.725</v>
      </c>
      <c r="I12" s="263">
        <f t="shared" si="0"/>
        <v>122036518.955</v>
      </c>
      <c r="J12" s="263">
        <f t="shared" si="0"/>
        <v>66</v>
      </c>
      <c r="K12" s="263">
        <f t="shared" si="0"/>
        <v>0</v>
      </c>
      <c r="L12" s="263">
        <f t="shared" si="0"/>
        <v>453</v>
      </c>
      <c r="M12" s="263">
        <f t="shared" si="0"/>
        <v>395</v>
      </c>
      <c r="N12" s="263">
        <f t="shared" si="0"/>
        <v>8125</v>
      </c>
      <c r="O12" s="263">
        <f t="shared" si="0"/>
        <v>3090</v>
      </c>
      <c r="P12" s="263">
        <f t="shared" si="0"/>
        <v>5648</v>
      </c>
      <c r="Q12" s="263">
        <f t="shared" si="0"/>
        <v>5070</v>
      </c>
      <c r="R12" s="263">
        <f t="shared" si="0"/>
        <v>609461932.0389999</v>
      </c>
      <c r="S12" s="263">
        <f t="shared" si="0"/>
        <v>177730206.135</v>
      </c>
    </row>
    <row r="13" spans="1:19" ht="15">
      <c r="A13" s="154">
        <v>1</v>
      </c>
      <c r="B13" s="155" t="s">
        <v>175</v>
      </c>
      <c r="C13" s="264">
        <v>37</v>
      </c>
      <c r="D13" s="264">
        <v>53</v>
      </c>
      <c r="E13" s="264">
        <v>2538</v>
      </c>
      <c r="F13" s="264">
        <v>427</v>
      </c>
      <c r="G13" s="264">
        <v>1276</v>
      </c>
      <c r="H13" s="264">
        <v>652760</v>
      </c>
      <c r="I13" s="264">
        <v>54366</v>
      </c>
      <c r="J13" s="264"/>
      <c r="K13" s="264"/>
      <c r="L13" s="264">
        <v>13</v>
      </c>
      <c r="M13" s="264">
        <v>5</v>
      </c>
      <c r="N13" s="265">
        <v>119</v>
      </c>
      <c r="O13" s="265">
        <v>21</v>
      </c>
      <c r="P13" s="264">
        <v>49</v>
      </c>
      <c r="Q13" s="264">
        <v>44</v>
      </c>
      <c r="R13" s="264">
        <v>3183737</v>
      </c>
      <c r="S13" s="264">
        <v>2064882</v>
      </c>
    </row>
    <row r="14" spans="1:19" ht="30">
      <c r="A14" s="154">
        <v>2</v>
      </c>
      <c r="B14" s="155" t="s">
        <v>263</v>
      </c>
      <c r="C14" s="264">
        <v>53</v>
      </c>
      <c r="D14" s="264">
        <v>148</v>
      </c>
      <c r="E14" s="266">
        <v>1714</v>
      </c>
      <c r="F14" s="267">
        <v>354</v>
      </c>
      <c r="G14" s="267">
        <v>791</v>
      </c>
      <c r="H14" s="267">
        <v>8270533</v>
      </c>
      <c r="I14" s="267">
        <v>474211</v>
      </c>
      <c r="J14" s="264"/>
      <c r="K14" s="264"/>
      <c r="L14" s="264">
        <v>11</v>
      </c>
      <c r="M14" s="264">
        <v>5</v>
      </c>
      <c r="N14" s="265">
        <v>109</v>
      </c>
      <c r="O14" s="265">
        <v>44</v>
      </c>
      <c r="P14" s="264">
        <v>47</v>
      </c>
      <c r="Q14" s="264">
        <v>44</v>
      </c>
      <c r="R14" s="264">
        <v>755448.5</v>
      </c>
      <c r="S14" s="264">
        <v>65211</v>
      </c>
    </row>
    <row r="15" spans="1:19" ht="15">
      <c r="A15" s="154">
        <v>3</v>
      </c>
      <c r="B15" s="155" t="s">
        <v>176</v>
      </c>
      <c r="C15" s="264">
        <v>12</v>
      </c>
      <c r="D15" s="264">
        <v>26</v>
      </c>
      <c r="E15" s="264">
        <v>616</v>
      </c>
      <c r="F15" s="264">
        <v>213</v>
      </c>
      <c r="G15" s="264">
        <v>403</v>
      </c>
      <c r="H15" s="264">
        <v>371459</v>
      </c>
      <c r="I15" s="264">
        <v>32600</v>
      </c>
      <c r="J15" s="264"/>
      <c r="K15" s="264"/>
      <c r="L15" s="264">
        <v>4</v>
      </c>
      <c r="M15" s="264">
        <v>7</v>
      </c>
      <c r="N15" s="265">
        <v>54</v>
      </c>
      <c r="O15" s="265">
        <v>31</v>
      </c>
      <c r="P15" s="264">
        <v>31</v>
      </c>
      <c r="Q15" s="264">
        <v>31</v>
      </c>
      <c r="R15" s="264">
        <v>127740</v>
      </c>
      <c r="S15" s="264">
        <v>1000</v>
      </c>
    </row>
    <row r="16" spans="1:19" ht="15">
      <c r="A16" s="154">
        <v>4</v>
      </c>
      <c r="B16" s="155" t="s">
        <v>177</v>
      </c>
      <c r="C16" s="264">
        <v>5</v>
      </c>
      <c r="D16" s="264">
        <v>6</v>
      </c>
      <c r="E16" s="264">
        <v>79</v>
      </c>
      <c r="F16" s="264">
        <v>11</v>
      </c>
      <c r="G16" s="264">
        <v>49</v>
      </c>
      <c r="H16" s="264">
        <v>37600</v>
      </c>
      <c r="I16" s="264">
        <v>0</v>
      </c>
      <c r="J16" s="264"/>
      <c r="K16" s="264"/>
      <c r="L16" s="264">
        <v>1</v>
      </c>
      <c r="M16" s="264">
        <v>2</v>
      </c>
      <c r="N16" s="265">
        <v>51</v>
      </c>
      <c r="O16" s="265">
        <v>46</v>
      </c>
      <c r="P16" s="264">
        <v>46</v>
      </c>
      <c r="Q16" s="264">
        <v>46</v>
      </c>
      <c r="R16" s="264">
        <v>233214.5</v>
      </c>
      <c r="S16" s="264">
        <v>46642.9</v>
      </c>
    </row>
    <row r="17" spans="1:19" ht="15">
      <c r="A17" s="154">
        <v>5</v>
      </c>
      <c r="B17" s="155" t="s">
        <v>178</v>
      </c>
      <c r="C17" s="264">
        <v>8</v>
      </c>
      <c r="D17" s="264">
        <v>13</v>
      </c>
      <c r="E17" s="264">
        <v>152</v>
      </c>
      <c r="F17" s="267">
        <v>79</v>
      </c>
      <c r="G17" s="267">
        <v>2</v>
      </c>
      <c r="H17" s="267">
        <v>146600</v>
      </c>
      <c r="I17" s="267">
        <v>8000</v>
      </c>
      <c r="J17" s="264"/>
      <c r="K17" s="264"/>
      <c r="L17" s="264">
        <v>1</v>
      </c>
      <c r="M17" s="264">
        <v>3</v>
      </c>
      <c r="N17" s="265">
        <v>110</v>
      </c>
      <c r="O17" s="265">
        <v>16</v>
      </c>
      <c r="P17" s="264">
        <v>16</v>
      </c>
      <c r="Q17" s="264">
        <v>16</v>
      </c>
      <c r="R17" s="264">
        <v>114395</v>
      </c>
      <c r="S17" s="267">
        <v>0</v>
      </c>
    </row>
    <row r="18" spans="1:19" ht="15">
      <c r="A18" s="154">
        <v>6</v>
      </c>
      <c r="B18" s="155" t="s">
        <v>179</v>
      </c>
      <c r="C18" s="267">
        <v>8</v>
      </c>
      <c r="D18" s="267">
        <v>38</v>
      </c>
      <c r="E18" s="267">
        <v>239</v>
      </c>
      <c r="F18" s="267">
        <v>111</v>
      </c>
      <c r="G18" s="267">
        <v>128</v>
      </c>
      <c r="H18" s="267">
        <v>363920</v>
      </c>
      <c r="I18" s="267">
        <v>10633</v>
      </c>
      <c r="J18" s="264"/>
      <c r="K18" s="264"/>
      <c r="L18" s="264">
        <v>5</v>
      </c>
      <c r="M18" s="264">
        <v>13</v>
      </c>
      <c r="N18" s="264">
        <v>78</v>
      </c>
      <c r="O18" s="264">
        <v>20</v>
      </c>
      <c r="P18" s="264">
        <v>58</v>
      </c>
      <c r="Q18" s="264">
        <v>31</v>
      </c>
      <c r="R18" s="264">
        <v>400787.704</v>
      </c>
      <c r="S18" s="268" t="s">
        <v>290</v>
      </c>
    </row>
    <row r="19" spans="1:19" ht="15">
      <c r="A19" s="154">
        <v>7</v>
      </c>
      <c r="B19" s="155" t="s">
        <v>180</v>
      </c>
      <c r="C19" s="267">
        <v>24</v>
      </c>
      <c r="D19" s="267">
        <v>35</v>
      </c>
      <c r="E19" s="267">
        <v>506</v>
      </c>
      <c r="F19" s="267">
        <v>220</v>
      </c>
      <c r="G19" s="267">
        <v>267</v>
      </c>
      <c r="H19" s="267">
        <v>179700</v>
      </c>
      <c r="I19" s="267">
        <v>15100</v>
      </c>
      <c r="J19" s="264"/>
      <c r="K19" s="264"/>
      <c r="L19" s="264">
        <v>11</v>
      </c>
      <c r="M19" s="264">
        <v>4</v>
      </c>
      <c r="N19" s="265">
        <v>269</v>
      </c>
      <c r="O19" s="265">
        <v>51</v>
      </c>
      <c r="P19" s="264">
        <v>72</v>
      </c>
      <c r="Q19" s="264">
        <v>70</v>
      </c>
      <c r="R19" s="264">
        <v>13981164</v>
      </c>
      <c r="S19" s="264">
        <v>1354717</v>
      </c>
    </row>
    <row r="20" spans="1:19" ht="15">
      <c r="A20" s="154">
        <v>8</v>
      </c>
      <c r="B20" s="155" t="s">
        <v>181</v>
      </c>
      <c r="C20" s="267">
        <v>21</v>
      </c>
      <c r="D20" s="267">
        <v>43</v>
      </c>
      <c r="E20" s="267">
        <v>519</v>
      </c>
      <c r="F20" s="267">
        <v>142</v>
      </c>
      <c r="G20" s="267">
        <v>171</v>
      </c>
      <c r="H20" s="267">
        <v>498840</v>
      </c>
      <c r="I20" s="267">
        <v>32648</v>
      </c>
      <c r="J20" s="264"/>
      <c r="K20" s="264"/>
      <c r="L20" s="264">
        <v>8</v>
      </c>
      <c r="M20" s="264">
        <v>12</v>
      </c>
      <c r="N20" s="265">
        <v>116</v>
      </c>
      <c r="O20" s="265">
        <v>81</v>
      </c>
      <c r="P20" s="264">
        <v>95</v>
      </c>
      <c r="Q20" s="264">
        <v>95</v>
      </c>
      <c r="R20" s="264">
        <v>8267628</v>
      </c>
      <c r="S20" s="264">
        <v>5756005</v>
      </c>
    </row>
    <row r="21" spans="1:20" ht="30">
      <c r="A21" s="154">
        <v>9</v>
      </c>
      <c r="B21" s="155" t="s">
        <v>182</v>
      </c>
      <c r="C21" s="267">
        <v>24</v>
      </c>
      <c r="D21" s="267">
        <v>79</v>
      </c>
      <c r="E21" s="267">
        <v>1099</v>
      </c>
      <c r="F21" s="267">
        <f>37+153+72+8+5+20+2</f>
        <v>297</v>
      </c>
      <c r="G21" s="267">
        <f>60+14+485</f>
        <v>559</v>
      </c>
      <c r="H21" s="267">
        <v>2753297</v>
      </c>
      <c r="I21" s="267">
        <v>324510</v>
      </c>
      <c r="J21" s="264"/>
      <c r="K21" s="264"/>
      <c r="L21" s="264">
        <v>5</v>
      </c>
      <c r="M21" s="264">
        <v>4</v>
      </c>
      <c r="N21" s="265">
        <v>214</v>
      </c>
      <c r="O21" s="265">
        <v>74</v>
      </c>
      <c r="P21" s="264">
        <v>78</v>
      </c>
      <c r="Q21" s="264">
        <v>78</v>
      </c>
      <c r="R21" s="264">
        <v>1406604</v>
      </c>
      <c r="S21" s="264">
        <v>957618</v>
      </c>
      <c r="T21" s="22"/>
    </row>
    <row r="22" spans="1:19" ht="30">
      <c r="A22" s="154">
        <v>10</v>
      </c>
      <c r="B22" s="155" t="s">
        <v>183</v>
      </c>
      <c r="C22" s="267">
        <v>25</v>
      </c>
      <c r="D22" s="267">
        <v>85</v>
      </c>
      <c r="E22" s="267">
        <v>527</v>
      </c>
      <c r="F22" s="267">
        <v>89</v>
      </c>
      <c r="G22" s="267">
        <v>872</v>
      </c>
      <c r="H22" s="267">
        <v>800000</v>
      </c>
      <c r="I22" s="267">
        <v>46000</v>
      </c>
      <c r="J22" s="264"/>
      <c r="K22" s="264"/>
      <c r="L22" s="264">
        <v>1</v>
      </c>
      <c r="M22" s="264">
        <v>1</v>
      </c>
      <c r="N22" s="265">
        <v>141</v>
      </c>
      <c r="O22" s="265">
        <v>100</v>
      </c>
      <c r="P22" s="264">
        <v>100</v>
      </c>
      <c r="Q22" s="264">
        <v>100</v>
      </c>
      <c r="R22" s="264">
        <v>570484</v>
      </c>
      <c r="S22" s="264">
        <v>15221</v>
      </c>
    </row>
    <row r="23" spans="1:19" ht="15">
      <c r="A23" s="154">
        <v>11</v>
      </c>
      <c r="B23" s="155" t="s">
        <v>184</v>
      </c>
      <c r="C23" s="267">
        <v>19</v>
      </c>
      <c r="D23" s="267">
        <v>32</v>
      </c>
      <c r="E23" s="267">
        <v>856</v>
      </c>
      <c r="F23" s="267">
        <v>84</v>
      </c>
      <c r="G23" s="267">
        <v>772</v>
      </c>
      <c r="H23" s="267">
        <v>157006.486</v>
      </c>
      <c r="I23" s="267">
        <v>15700.648</v>
      </c>
      <c r="J23" s="264"/>
      <c r="K23" s="264"/>
      <c r="L23" s="264">
        <v>4</v>
      </c>
      <c r="M23" s="264">
        <v>2</v>
      </c>
      <c r="N23" s="265">
        <v>128</v>
      </c>
      <c r="O23" s="265">
        <v>106</v>
      </c>
      <c r="P23" s="264">
        <v>169</v>
      </c>
      <c r="Q23" s="264">
        <v>169</v>
      </c>
      <c r="R23" s="264">
        <v>3545200</v>
      </c>
      <c r="S23" s="264">
        <v>1534400</v>
      </c>
    </row>
    <row r="24" spans="1:19" ht="15">
      <c r="A24" s="154">
        <v>12</v>
      </c>
      <c r="B24" s="155" t="s">
        <v>185</v>
      </c>
      <c r="C24" s="267">
        <v>15</v>
      </c>
      <c r="D24" s="267">
        <v>31</v>
      </c>
      <c r="E24" s="267">
        <v>1051</v>
      </c>
      <c r="F24" s="267">
        <v>104</v>
      </c>
      <c r="G24" s="267">
        <v>776</v>
      </c>
      <c r="H24" s="267">
        <v>429447</v>
      </c>
      <c r="I24" s="267">
        <v>33870</v>
      </c>
      <c r="J24" s="264"/>
      <c r="K24" s="264"/>
      <c r="L24" s="264">
        <v>2</v>
      </c>
      <c r="M24" s="264">
        <v>3</v>
      </c>
      <c r="N24" s="265">
        <v>149</v>
      </c>
      <c r="O24" s="265">
        <v>32</v>
      </c>
      <c r="P24" s="264">
        <v>32</v>
      </c>
      <c r="Q24" s="264">
        <v>32</v>
      </c>
      <c r="R24" s="264">
        <v>204489</v>
      </c>
      <c r="S24" s="264">
        <v>20448</v>
      </c>
    </row>
    <row r="25" spans="1:19" ht="15">
      <c r="A25" s="154">
        <v>13</v>
      </c>
      <c r="B25" s="155" t="s">
        <v>186</v>
      </c>
      <c r="C25" s="267">
        <v>79</v>
      </c>
      <c r="D25" s="267">
        <v>154</v>
      </c>
      <c r="E25" s="267">
        <v>2285</v>
      </c>
      <c r="F25" s="267">
        <v>503</v>
      </c>
      <c r="G25" s="267">
        <v>1056</v>
      </c>
      <c r="H25" s="267">
        <v>2752694.402</v>
      </c>
      <c r="I25" s="267">
        <v>238620.482</v>
      </c>
      <c r="J25" s="264"/>
      <c r="K25" s="264"/>
      <c r="L25" s="264">
        <v>7</v>
      </c>
      <c r="M25" s="264">
        <v>9</v>
      </c>
      <c r="N25" s="265">
        <v>160</v>
      </c>
      <c r="O25" s="265">
        <v>58</v>
      </c>
      <c r="P25" s="264">
        <v>99</v>
      </c>
      <c r="Q25" s="264">
        <v>99</v>
      </c>
      <c r="R25" s="264">
        <v>911954.237</v>
      </c>
      <c r="S25" s="264">
        <v>79901.447</v>
      </c>
    </row>
    <row r="26" spans="1:19" ht="15">
      <c r="A26" s="154">
        <v>14</v>
      </c>
      <c r="B26" s="155" t="s">
        <v>187</v>
      </c>
      <c r="C26" s="267">
        <v>4</v>
      </c>
      <c r="D26" s="267">
        <v>9</v>
      </c>
      <c r="E26" s="267">
        <v>111</v>
      </c>
      <c r="F26" s="267">
        <v>37</v>
      </c>
      <c r="G26" s="267">
        <v>72</v>
      </c>
      <c r="H26" s="267">
        <v>61600</v>
      </c>
      <c r="I26" s="267">
        <v>3020</v>
      </c>
      <c r="J26" s="264"/>
      <c r="K26" s="264"/>
      <c r="L26" s="264">
        <v>1</v>
      </c>
      <c r="M26" s="264">
        <v>3</v>
      </c>
      <c r="N26" s="265">
        <v>37</v>
      </c>
      <c r="O26" s="265">
        <v>32</v>
      </c>
      <c r="P26" s="264">
        <v>37</v>
      </c>
      <c r="Q26" s="264">
        <v>32</v>
      </c>
      <c r="R26" s="264">
        <v>125329</v>
      </c>
      <c r="S26" s="264">
        <v>33640</v>
      </c>
    </row>
    <row r="27" spans="1:19" ht="15">
      <c r="A27" s="154">
        <v>15</v>
      </c>
      <c r="B27" s="155" t="s">
        <v>188</v>
      </c>
      <c r="C27" s="267">
        <v>47</v>
      </c>
      <c r="D27" s="267">
        <v>137</v>
      </c>
      <c r="E27" s="267">
        <v>666</v>
      </c>
      <c r="F27" s="267">
        <v>247</v>
      </c>
      <c r="G27" s="267">
        <v>285</v>
      </c>
      <c r="H27" s="267">
        <v>2288405.993</v>
      </c>
      <c r="I27" s="267">
        <v>224964.53</v>
      </c>
      <c r="J27" s="264"/>
      <c r="K27" s="267"/>
      <c r="L27" s="267">
        <v>10</v>
      </c>
      <c r="M27" s="267">
        <v>11</v>
      </c>
      <c r="N27" s="269">
        <v>106</v>
      </c>
      <c r="O27" s="269">
        <v>51</v>
      </c>
      <c r="P27" s="267">
        <v>71</v>
      </c>
      <c r="Q27" s="267">
        <v>71</v>
      </c>
      <c r="R27" s="267">
        <v>2754630</v>
      </c>
      <c r="S27" s="267">
        <v>2599873</v>
      </c>
    </row>
    <row r="28" spans="1:19" ht="15">
      <c r="A28" s="154">
        <v>16</v>
      </c>
      <c r="B28" s="155" t="s">
        <v>189</v>
      </c>
      <c r="C28" s="267">
        <v>19</v>
      </c>
      <c r="D28" s="267">
        <v>28</v>
      </c>
      <c r="E28" s="267">
        <v>968</v>
      </c>
      <c r="F28" s="267">
        <v>318</v>
      </c>
      <c r="G28" s="267">
        <v>449</v>
      </c>
      <c r="H28" s="267">
        <v>571688</v>
      </c>
      <c r="I28" s="267">
        <v>32032</v>
      </c>
      <c r="J28" s="264"/>
      <c r="K28" s="267"/>
      <c r="L28" s="267">
        <v>7</v>
      </c>
      <c r="M28" s="267">
        <v>10</v>
      </c>
      <c r="N28" s="269">
        <v>660</v>
      </c>
      <c r="O28" s="269">
        <v>115</v>
      </c>
      <c r="P28" s="267">
        <v>278</v>
      </c>
      <c r="Q28" s="267">
        <v>278</v>
      </c>
      <c r="R28" s="267">
        <v>118996491.765</v>
      </c>
      <c r="S28" s="267">
        <v>117934490.353</v>
      </c>
    </row>
    <row r="29" spans="1:19" ht="15">
      <c r="A29" s="154">
        <v>17</v>
      </c>
      <c r="B29" s="155" t="s">
        <v>190</v>
      </c>
      <c r="C29" s="267">
        <v>7</v>
      </c>
      <c r="D29" s="267">
        <v>16</v>
      </c>
      <c r="E29" s="267">
        <v>359</v>
      </c>
      <c r="F29" s="267">
        <v>56</v>
      </c>
      <c r="G29" s="267">
        <v>303</v>
      </c>
      <c r="H29" s="267">
        <v>158500</v>
      </c>
      <c r="I29" s="267">
        <v>7300</v>
      </c>
      <c r="J29" s="264"/>
      <c r="K29" s="267"/>
      <c r="L29" s="267">
        <v>8</v>
      </c>
      <c r="M29" s="267">
        <v>6</v>
      </c>
      <c r="N29" s="269">
        <v>74</v>
      </c>
      <c r="O29" s="269">
        <v>18</v>
      </c>
      <c r="P29" s="267">
        <v>30</v>
      </c>
      <c r="Q29" s="267">
        <v>30</v>
      </c>
      <c r="R29" s="267">
        <v>4307354</v>
      </c>
      <c r="S29" s="267">
        <v>514605</v>
      </c>
    </row>
    <row r="30" spans="1:19" ht="15">
      <c r="A30" s="154">
        <v>18</v>
      </c>
      <c r="B30" s="155" t="s">
        <v>191</v>
      </c>
      <c r="C30" s="267">
        <v>3</v>
      </c>
      <c r="D30" s="267">
        <v>10</v>
      </c>
      <c r="E30" s="267">
        <v>50</v>
      </c>
      <c r="F30" s="267">
        <v>36</v>
      </c>
      <c r="G30" s="267">
        <v>30</v>
      </c>
      <c r="H30" s="267">
        <v>13400</v>
      </c>
      <c r="I30" s="267">
        <v>0</v>
      </c>
      <c r="J30" s="264"/>
      <c r="K30" s="264"/>
      <c r="L30" s="267">
        <v>10</v>
      </c>
      <c r="M30" s="267">
        <v>2</v>
      </c>
      <c r="N30" s="265">
        <v>34</v>
      </c>
      <c r="O30" s="265">
        <v>32</v>
      </c>
      <c r="P30" s="264">
        <v>32</v>
      </c>
      <c r="Q30" s="264">
        <v>32</v>
      </c>
      <c r="R30" s="264">
        <v>2229107</v>
      </c>
      <c r="S30" s="264">
        <v>2169796</v>
      </c>
    </row>
    <row r="31" spans="1:19" ht="15">
      <c r="A31" s="154">
        <v>19</v>
      </c>
      <c r="B31" s="157" t="s">
        <v>211</v>
      </c>
      <c r="C31" s="267">
        <v>90</v>
      </c>
      <c r="D31" s="267">
        <v>213</v>
      </c>
      <c r="E31" s="267">
        <v>4039</v>
      </c>
      <c r="F31" s="267">
        <v>693</v>
      </c>
      <c r="G31" s="267">
        <v>2226</v>
      </c>
      <c r="H31" s="267">
        <v>4480539</v>
      </c>
      <c r="I31" s="267">
        <v>426134</v>
      </c>
      <c r="J31" s="267"/>
      <c r="K31" s="267"/>
      <c r="L31" s="267">
        <v>1</v>
      </c>
      <c r="M31" s="267">
        <v>4</v>
      </c>
      <c r="N31" s="269">
        <v>122</v>
      </c>
      <c r="O31" s="270" t="s">
        <v>290</v>
      </c>
      <c r="P31" s="267">
        <v>34</v>
      </c>
      <c r="Q31" s="267">
        <v>34</v>
      </c>
      <c r="R31" s="267">
        <v>680031</v>
      </c>
      <c r="S31" s="267">
        <v>353616.12</v>
      </c>
    </row>
    <row r="32" spans="1:19" ht="15">
      <c r="A32" s="154">
        <v>20</v>
      </c>
      <c r="B32" s="157" t="s">
        <v>212</v>
      </c>
      <c r="C32" s="267">
        <v>16</v>
      </c>
      <c r="D32" s="267">
        <v>30</v>
      </c>
      <c r="E32" s="267">
        <v>605</v>
      </c>
      <c r="F32" s="267">
        <v>110</v>
      </c>
      <c r="G32" s="267">
        <v>327</v>
      </c>
      <c r="H32" s="267">
        <v>561583</v>
      </c>
      <c r="I32" s="267">
        <v>34021.593</v>
      </c>
      <c r="J32" s="267"/>
      <c r="K32" s="267"/>
      <c r="L32" s="267">
        <v>3</v>
      </c>
      <c r="M32" s="267">
        <v>7</v>
      </c>
      <c r="N32" s="269">
        <v>366</v>
      </c>
      <c r="O32" s="269">
        <v>71</v>
      </c>
      <c r="P32" s="267">
        <v>65</v>
      </c>
      <c r="Q32" s="267">
        <v>65</v>
      </c>
      <c r="R32" s="267">
        <v>567161</v>
      </c>
      <c r="S32" s="267">
        <v>104683</v>
      </c>
    </row>
    <row r="33" spans="1:19" ht="15">
      <c r="A33" s="154">
        <v>21</v>
      </c>
      <c r="B33" s="157" t="s">
        <v>213</v>
      </c>
      <c r="C33" s="267">
        <v>4</v>
      </c>
      <c r="D33" s="267">
        <v>19</v>
      </c>
      <c r="E33" s="267">
        <v>379</v>
      </c>
      <c r="F33" s="267">
        <v>126</v>
      </c>
      <c r="G33" s="267">
        <v>235</v>
      </c>
      <c r="H33" s="267">
        <v>148509</v>
      </c>
      <c r="I33" s="267">
        <v>7963.709</v>
      </c>
      <c r="J33" s="267"/>
      <c r="K33" s="267"/>
      <c r="L33" s="267">
        <v>4</v>
      </c>
      <c r="M33" s="267">
        <v>5</v>
      </c>
      <c r="N33" s="269">
        <v>145</v>
      </c>
      <c r="O33" s="269">
        <v>48</v>
      </c>
      <c r="P33" s="267">
        <v>48</v>
      </c>
      <c r="Q33" s="267">
        <v>48</v>
      </c>
      <c r="R33" s="267">
        <v>875174</v>
      </c>
      <c r="S33" s="267">
        <v>87517</v>
      </c>
    </row>
    <row r="34" spans="1:19" ht="15">
      <c r="A34" s="154">
        <v>22</v>
      </c>
      <c r="B34" s="157" t="s">
        <v>214</v>
      </c>
      <c r="C34" s="267">
        <v>3</v>
      </c>
      <c r="D34" s="267">
        <v>5</v>
      </c>
      <c r="E34" s="267">
        <v>97</v>
      </c>
      <c r="F34" s="267">
        <v>23</v>
      </c>
      <c r="G34" s="267">
        <v>70</v>
      </c>
      <c r="H34" s="267">
        <v>36600</v>
      </c>
      <c r="I34" s="267"/>
      <c r="J34" s="267"/>
      <c r="K34" s="267"/>
      <c r="L34" s="264">
        <v>1</v>
      </c>
      <c r="M34" s="264">
        <v>3</v>
      </c>
      <c r="N34" s="265">
        <v>32</v>
      </c>
      <c r="O34" s="264">
        <v>25</v>
      </c>
      <c r="P34" s="264">
        <v>83</v>
      </c>
      <c r="Q34" s="264">
        <v>67</v>
      </c>
      <c r="R34" s="264">
        <v>37814</v>
      </c>
      <c r="S34" s="264">
        <v>13334</v>
      </c>
    </row>
    <row r="35" spans="1:19" ht="15.75" thickBot="1">
      <c r="A35" s="154">
        <v>23</v>
      </c>
      <c r="B35" s="157" t="s">
        <v>215</v>
      </c>
      <c r="C35" s="267">
        <v>1</v>
      </c>
      <c r="D35" s="267">
        <v>5</v>
      </c>
      <c r="E35" s="267">
        <v>118</v>
      </c>
      <c r="F35" s="267">
        <v>27</v>
      </c>
      <c r="G35" s="267">
        <v>91</v>
      </c>
      <c r="H35" s="267">
        <v>40000</v>
      </c>
      <c r="I35" s="267">
        <v>700</v>
      </c>
      <c r="J35" s="267"/>
      <c r="K35" s="267"/>
      <c r="L35" s="264">
        <v>4</v>
      </c>
      <c r="M35" s="264">
        <v>6</v>
      </c>
      <c r="N35" s="264">
        <v>30</v>
      </c>
      <c r="O35" s="264">
        <v>27</v>
      </c>
      <c r="P35" s="265">
        <v>36</v>
      </c>
      <c r="Q35" s="265">
        <v>36</v>
      </c>
      <c r="R35" s="267">
        <v>297751</v>
      </c>
      <c r="S35" s="267">
        <v>0</v>
      </c>
    </row>
    <row r="36" spans="1:19" ht="15.75" thickBot="1">
      <c r="A36" s="156">
        <v>24</v>
      </c>
      <c r="B36" s="158" t="s">
        <v>216</v>
      </c>
      <c r="C36" s="267">
        <v>664</v>
      </c>
      <c r="D36" s="267">
        <v>1876</v>
      </c>
      <c r="E36" s="267">
        <v>8964</v>
      </c>
      <c r="F36" s="267">
        <v>1452</v>
      </c>
      <c r="G36" s="267">
        <v>4151</v>
      </c>
      <c r="H36" s="267">
        <v>73745211</v>
      </c>
      <c r="I36" s="267">
        <v>8734843</v>
      </c>
      <c r="J36" s="267">
        <v>19</v>
      </c>
      <c r="K36" s="267"/>
      <c r="L36" s="264">
        <v>57</v>
      </c>
      <c r="M36" s="270" t="s">
        <v>290</v>
      </c>
      <c r="N36" s="270" t="s">
        <v>290</v>
      </c>
      <c r="O36" s="270" t="s">
        <v>290</v>
      </c>
      <c r="P36" s="264">
        <v>25</v>
      </c>
      <c r="Q36" s="264">
        <v>21</v>
      </c>
      <c r="R36" s="267">
        <v>601341</v>
      </c>
      <c r="S36" s="271" t="s">
        <v>290</v>
      </c>
    </row>
    <row r="37" spans="1:19" ht="15">
      <c r="A37" s="154">
        <v>25</v>
      </c>
      <c r="B37" s="157" t="s">
        <v>217</v>
      </c>
      <c r="C37" s="264">
        <v>10</v>
      </c>
      <c r="D37" s="264">
        <v>20</v>
      </c>
      <c r="E37" s="264">
        <v>123</v>
      </c>
      <c r="F37" s="267">
        <v>103</v>
      </c>
      <c r="G37" s="267">
        <v>5</v>
      </c>
      <c r="H37" s="267">
        <v>93000</v>
      </c>
      <c r="I37" s="267">
        <v>7150</v>
      </c>
      <c r="J37" s="267"/>
      <c r="K37" s="267"/>
      <c r="L37" s="264">
        <v>3</v>
      </c>
      <c r="M37" s="264">
        <v>5</v>
      </c>
      <c r="N37" s="265">
        <v>46</v>
      </c>
      <c r="O37" s="265">
        <v>19</v>
      </c>
      <c r="P37" s="264">
        <v>153</v>
      </c>
      <c r="Q37" s="264">
        <v>153</v>
      </c>
      <c r="R37" s="266">
        <v>249050</v>
      </c>
      <c r="S37" s="272">
        <v>20355</v>
      </c>
    </row>
    <row r="38" spans="1:19" ht="15">
      <c r="A38" s="154">
        <v>26</v>
      </c>
      <c r="B38" s="157" t="s">
        <v>218</v>
      </c>
      <c r="C38" s="264">
        <v>18</v>
      </c>
      <c r="D38" s="264">
        <v>38</v>
      </c>
      <c r="E38" s="264">
        <v>500</v>
      </c>
      <c r="F38" s="267">
        <v>113</v>
      </c>
      <c r="G38" s="267">
        <v>138</v>
      </c>
      <c r="H38" s="267">
        <v>941034</v>
      </c>
      <c r="I38" s="267">
        <v>101878</v>
      </c>
      <c r="J38" s="267"/>
      <c r="K38" s="267"/>
      <c r="L38" s="264">
        <v>15</v>
      </c>
      <c r="M38" s="264">
        <v>9</v>
      </c>
      <c r="N38" s="265">
        <v>76</v>
      </c>
      <c r="O38" s="265">
        <v>70</v>
      </c>
      <c r="P38" s="264">
        <v>138</v>
      </c>
      <c r="Q38" s="264">
        <v>137</v>
      </c>
      <c r="R38" s="264">
        <v>46673241</v>
      </c>
      <c r="S38" s="264">
        <v>1834</v>
      </c>
    </row>
    <row r="39" spans="1:19" ht="15">
      <c r="A39" s="154">
        <v>27</v>
      </c>
      <c r="B39" s="157" t="s">
        <v>219</v>
      </c>
      <c r="C39" s="264">
        <v>36</v>
      </c>
      <c r="D39" s="264">
        <v>93</v>
      </c>
      <c r="E39" s="264">
        <v>877</v>
      </c>
      <c r="F39" s="267">
        <v>265</v>
      </c>
      <c r="G39" s="267">
        <v>227</v>
      </c>
      <c r="H39" s="267">
        <v>2187888</v>
      </c>
      <c r="I39" s="267">
        <v>293120</v>
      </c>
      <c r="J39" s="267"/>
      <c r="K39" s="267"/>
      <c r="L39" s="264">
        <v>17</v>
      </c>
      <c r="M39" s="264">
        <v>15</v>
      </c>
      <c r="N39" s="265">
        <v>73</v>
      </c>
      <c r="O39" s="265">
        <v>60</v>
      </c>
      <c r="P39" s="264">
        <v>104</v>
      </c>
      <c r="Q39" s="264">
        <v>91</v>
      </c>
      <c r="R39" s="264">
        <v>2771490</v>
      </c>
      <c r="S39" s="264">
        <v>1547855</v>
      </c>
    </row>
    <row r="40" spans="1:19" ht="15">
      <c r="A40" s="154">
        <v>28</v>
      </c>
      <c r="B40" s="157" t="s">
        <v>220</v>
      </c>
      <c r="C40" s="264">
        <v>6</v>
      </c>
      <c r="D40" s="264">
        <v>10</v>
      </c>
      <c r="E40" s="264">
        <v>6</v>
      </c>
      <c r="F40" s="264">
        <v>76</v>
      </c>
      <c r="G40" s="264">
        <v>58</v>
      </c>
      <c r="H40" s="264">
        <v>78596</v>
      </c>
      <c r="I40" s="264">
        <v>11320</v>
      </c>
      <c r="J40" s="267"/>
      <c r="K40" s="267"/>
      <c r="L40" s="264">
        <v>8</v>
      </c>
      <c r="M40" s="264">
        <v>2</v>
      </c>
      <c r="N40" s="265">
        <v>62</v>
      </c>
      <c r="O40" s="265">
        <v>13</v>
      </c>
      <c r="P40" s="264">
        <v>16</v>
      </c>
      <c r="Q40" s="264">
        <v>16</v>
      </c>
      <c r="R40" s="267">
        <v>1057722.5</v>
      </c>
      <c r="S40" s="267">
        <v>1057722.5</v>
      </c>
    </row>
    <row r="41" spans="1:19" ht="15">
      <c r="A41" s="154">
        <v>29</v>
      </c>
      <c r="B41" s="157" t="s">
        <v>221</v>
      </c>
      <c r="C41" s="264">
        <v>8</v>
      </c>
      <c r="D41" s="264">
        <v>9</v>
      </c>
      <c r="E41" s="264">
        <v>56</v>
      </c>
      <c r="F41" s="264">
        <v>27</v>
      </c>
      <c r="G41" s="264">
        <v>29</v>
      </c>
      <c r="H41" s="264">
        <v>9720</v>
      </c>
      <c r="I41" s="264">
        <v>2000</v>
      </c>
      <c r="J41" s="267"/>
      <c r="K41" s="267"/>
      <c r="L41" s="264">
        <v>5</v>
      </c>
      <c r="M41" s="264">
        <v>5</v>
      </c>
      <c r="N41" s="265">
        <v>78</v>
      </c>
      <c r="O41" s="265">
        <v>34</v>
      </c>
      <c r="P41" s="264">
        <v>49</v>
      </c>
      <c r="Q41" s="264">
        <v>34</v>
      </c>
      <c r="R41" s="264">
        <v>654820</v>
      </c>
      <c r="S41" s="264">
        <v>173984</v>
      </c>
    </row>
    <row r="42" spans="1:19" ht="15">
      <c r="A42" s="154">
        <v>30</v>
      </c>
      <c r="B42" s="157" t="s">
        <v>222</v>
      </c>
      <c r="C42" s="264">
        <v>6</v>
      </c>
      <c r="D42" s="264">
        <v>16</v>
      </c>
      <c r="E42" s="267">
        <v>143</v>
      </c>
      <c r="F42" s="267">
        <v>19</v>
      </c>
      <c r="G42" s="264">
        <v>38</v>
      </c>
      <c r="H42" s="267">
        <v>0</v>
      </c>
      <c r="I42" s="267">
        <v>0</v>
      </c>
      <c r="J42" s="267"/>
      <c r="K42" s="267"/>
      <c r="L42" s="264">
        <v>1</v>
      </c>
      <c r="M42" s="264">
        <v>2</v>
      </c>
      <c r="N42" s="269">
        <v>35</v>
      </c>
      <c r="O42" s="273">
        <v>26</v>
      </c>
      <c r="P42" s="273">
        <v>26</v>
      </c>
      <c r="Q42" s="273">
        <v>26</v>
      </c>
      <c r="R42" s="306">
        <v>128218</v>
      </c>
      <c r="S42" s="306">
        <v>12821</v>
      </c>
    </row>
    <row r="43" spans="1:19" ht="21" customHeight="1">
      <c r="A43" s="154">
        <v>31</v>
      </c>
      <c r="B43" s="157" t="s">
        <v>223</v>
      </c>
      <c r="C43" s="264">
        <v>29</v>
      </c>
      <c r="D43" s="264">
        <v>56</v>
      </c>
      <c r="E43" s="264">
        <v>458</v>
      </c>
      <c r="F43" s="264">
        <v>193</v>
      </c>
      <c r="G43" s="264">
        <v>160</v>
      </c>
      <c r="H43" s="264">
        <v>732617</v>
      </c>
      <c r="I43" s="264">
        <v>54557</v>
      </c>
      <c r="J43" s="267"/>
      <c r="K43" s="267"/>
      <c r="L43" s="264">
        <v>2</v>
      </c>
      <c r="M43" s="264">
        <v>5</v>
      </c>
      <c r="N43" s="267">
        <v>169</v>
      </c>
      <c r="O43" s="267">
        <v>35</v>
      </c>
      <c r="P43" s="267">
        <v>110</v>
      </c>
      <c r="Q43" s="267">
        <v>109</v>
      </c>
      <c r="R43" s="267">
        <v>2596477</v>
      </c>
      <c r="S43" s="267">
        <v>1053798</v>
      </c>
    </row>
    <row r="44" spans="1:19" ht="15">
      <c r="A44" s="154">
        <v>32</v>
      </c>
      <c r="B44" s="157" t="s">
        <v>224</v>
      </c>
      <c r="C44" s="264">
        <v>18</v>
      </c>
      <c r="D44" s="264">
        <v>25</v>
      </c>
      <c r="E44" s="264">
        <v>805</v>
      </c>
      <c r="F44" s="264">
        <v>282</v>
      </c>
      <c r="G44" s="264">
        <v>37</v>
      </c>
      <c r="H44" s="264">
        <v>1150500</v>
      </c>
      <c r="I44" s="264">
        <v>60277</v>
      </c>
      <c r="J44" s="267"/>
      <c r="K44" s="267"/>
      <c r="L44" s="264">
        <v>19</v>
      </c>
      <c r="M44" s="264">
        <v>7</v>
      </c>
      <c r="N44" s="269">
        <v>149</v>
      </c>
      <c r="O44" s="269">
        <v>30</v>
      </c>
      <c r="P44" s="267">
        <v>137</v>
      </c>
      <c r="Q44" s="267">
        <v>69</v>
      </c>
      <c r="R44" s="267">
        <v>4694290</v>
      </c>
      <c r="S44" s="267">
        <v>3866998</v>
      </c>
    </row>
    <row r="45" spans="1:19" ht="15">
      <c r="A45" s="154">
        <v>33</v>
      </c>
      <c r="B45" s="157" t="s">
        <v>225</v>
      </c>
      <c r="C45" s="264">
        <v>2</v>
      </c>
      <c r="D45" s="264">
        <v>5</v>
      </c>
      <c r="E45" s="264">
        <v>22</v>
      </c>
      <c r="F45" s="264">
        <v>13</v>
      </c>
      <c r="G45" s="264">
        <v>1</v>
      </c>
      <c r="H45" s="264">
        <v>14400</v>
      </c>
      <c r="I45" s="264">
        <v>2440</v>
      </c>
      <c r="J45" s="267"/>
      <c r="K45" s="267"/>
      <c r="L45" s="264">
        <v>4</v>
      </c>
      <c r="M45" s="264">
        <v>7</v>
      </c>
      <c r="N45" s="269">
        <v>79</v>
      </c>
      <c r="O45" s="269">
        <v>54</v>
      </c>
      <c r="P45" s="267">
        <v>58</v>
      </c>
      <c r="Q45" s="267">
        <v>49</v>
      </c>
      <c r="R45" s="267">
        <v>647454</v>
      </c>
      <c r="S45" s="267">
        <v>157740</v>
      </c>
    </row>
    <row r="46" spans="1:19" ht="15">
      <c r="A46" s="154">
        <v>34</v>
      </c>
      <c r="B46" s="157" t="s">
        <v>226</v>
      </c>
      <c r="C46" s="264">
        <v>0</v>
      </c>
      <c r="D46" s="267">
        <v>0</v>
      </c>
      <c r="E46" s="267">
        <v>9</v>
      </c>
      <c r="F46" s="267">
        <v>0</v>
      </c>
      <c r="G46" s="267">
        <v>9</v>
      </c>
      <c r="H46" s="267">
        <v>0</v>
      </c>
      <c r="I46" s="267">
        <v>0</v>
      </c>
      <c r="J46" s="267"/>
      <c r="K46" s="267"/>
      <c r="L46" s="267">
        <v>1</v>
      </c>
      <c r="M46" s="264">
        <v>1</v>
      </c>
      <c r="N46" s="265">
        <v>8</v>
      </c>
      <c r="O46" s="265">
        <v>6</v>
      </c>
      <c r="P46" s="264">
        <v>11</v>
      </c>
      <c r="Q46" s="264">
        <v>9</v>
      </c>
      <c r="R46" s="264">
        <v>1390</v>
      </c>
      <c r="S46" s="264">
        <v>1390</v>
      </c>
    </row>
    <row r="47" spans="1:19" ht="15">
      <c r="A47" s="154">
        <v>35</v>
      </c>
      <c r="B47" s="157" t="s">
        <v>227</v>
      </c>
      <c r="C47" s="274">
        <v>36</v>
      </c>
      <c r="D47" s="267">
        <v>69</v>
      </c>
      <c r="E47" s="267">
        <f>450+44</f>
        <v>494</v>
      </c>
      <c r="F47" s="267">
        <f>221+4</f>
        <v>225</v>
      </c>
      <c r="G47" s="267">
        <f>222+40</f>
        <v>262</v>
      </c>
      <c r="H47" s="267">
        <v>603483</v>
      </c>
      <c r="I47" s="267">
        <v>73061</v>
      </c>
      <c r="J47" s="267"/>
      <c r="K47" s="267"/>
      <c r="L47" s="267">
        <v>2</v>
      </c>
      <c r="M47" s="267">
        <v>5</v>
      </c>
      <c r="N47" s="269">
        <v>117</v>
      </c>
      <c r="O47" s="269">
        <v>5</v>
      </c>
      <c r="P47" s="267">
        <v>5</v>
      </c>
      <c r="Q47" s="267">
        <v>5</v>
      </c>
      <c r="R47" s="267">
        <v>282094</v>
      </c>
      <c r="S47" s="275" t="s">
        <v>290</v>
      </c>
    </row>
    <row r="48" spans="1:19" ht="15">
      <c r="A48" s="154">
        <v>36</v>
      </c>
      <c r="B48" s="159" t="s">
        <v>229</v>
      </c>
      <c r="C48" s="264">
        <v>9</v>
      </c>
      <c r="D48" s="267">
        <v>27</v>
      </c>
      <c r="E48" s="267">
        <v>147</v>
      </c>
      <c r="F48" s="267">
        <v>72</v>
      </c>
      <c r="G48" s="267">
        <v>53</v>
      </c>
      <c r="H48" s="267">
        <v>103265</v>
      </c>
      <c r="I48" s="267"/>
      <c r="J48" s="267"/>
      <c r="K48" s="267"/>
      <c r="L48" s="267">
        <v>12</v>
      </c>
      <c r="M48" s="267">
        <v>2</v>
      </c>
      <c r="N48" s="269">
        <v>20</v>
      </c>
      <c r="O48" s="269">
        <v>14</v>
      </c>
      <c r="P48" s="267">
        <v>157</v>
      </c>
      <c r="Q48" s="267">
        <v>157</v>
      </c>
      <c r="R48" s="267">
        <v>4597125</v>
      </c>
      <c r="S48" s="267">
        <v>2285446</v>
      </c>
    </row>
    <row r="49" spans="1:19" ht="15">
      <c r="A49" s="154">
        <v>37</v>
      </c>
      <c r="B49" s="159" t="s">
        <v>230</v>
      </c>
      <c r="C49" s="264">
        <v>5</v>
      </c>
      <c r="D49" s="267">
        <v>14</v>
      </c>
      <c r="E49" s="267">
        <v>173</v>
      </c>
      <c r="F49" s="267">
        <v>113</v>
      </c>
      <c r="G49" s="267">
        <v>15</v>
      </c>
      <c r="H49" s="267">
        <v>179000</v>
      </c>
      <c r="I49" s="267">
        <v>11000</v>
      </c>
      <c r="J49" s="267"/>
      <c r="K49" s="267"/>
      <c r="L49" s="267">
        <v>7</v>
      </c>
      <c r="M49" s="264">
        <v>4</v>
      </c>
      <c r="N49" s="265">
        <v>24</v>
      </c>
      <c r="O49" s="265">
        <v>15</v>
      </c>
      <c r="P49" s="264">
        <v>41</v>
      </c>
      <c r="Q49" s="264">
        <v>29</v>
      </c>
      <c r="R49" s="264">
        <v>3130186</v>
      </c>
      <c r="S49" s="264">
        <v>2584287</v>
      </c>
    </row>
    <row r="50" spans="1:19" ht="15">
      <c r="A50" s="154">
        <v>38</v>
      </c>
      <c r="B50" s="159" t="s">
        <v>231</v>
      </c>
      <c r="C50" s="264">
        <v>32</v>
      </c>
      <c r="D50" s="267">
        <v>72</v>
      </c>
      <c r="E50" s="267">
        <f>114+105+72+24</f>
        <v>315</v>
      </c>
      <c r="F50" s="267">
        <v>114</v>
      </c>
      <c r="G50" s="267">
        <v>105</v>
      </c>
      <c r="H50" s="267">
        <v>259429</v>
      </c>
      <c r="I50" s="267">
        <v>21636</v>
      </c>
      <c r="J50" s="267"/>
      <c r="K50" s="267"/>
      <c r="L50" s="267">
        <v>6</v>
      </c>
      <c r="M50" s="264">
        <v>7</v>
      </c>
      <c r="N50" s="265">
        <v>155</v>
      </c>
      <c r="O50" s="265">
        <v>53</v>
      </c>
      <c r="P50" s="264">
        <v>303</v>
      </c>
      <c r="Q50" s="264">
        <v>55</v>
      </c>
      <c r="R50" s="264">
        <v>948103</v>
      </c>
      <c r="S50" s="264">
        <v>289285</v>
      </c>
    </row>
    <row r="51" spans="1:19" ht="15">
      <c r="A51" s="154">
        <v>39</v>
      </c>
      <c r="B51" s="159" t="s">
        <v>232</v>
      </c>
      <c r="C51" s="264">
        <v>16</v>
      </c>
      <c r="D51" s="267">
        <v>47</v>
      </c>
      <c r="E51" s="267">
        <v>341</v>
      </c>
      <c r="F51" s="267">
        <v>84</v>
      </c>
      <c r="G51" s="267">
        <v>234</v>
      </c>
      <c r="H51" s="267">
        <v>140920</v>
      </c>
      <c r="I51" s="267">
        <v>17968</v>
      </c>
      <c r="J51" s="267"/>
      <c r="K51" s="267"/>
      <c r="L51" s="267">
        <v>1</v>
      </c>
      <c r="M51" s="264">
        <v>3</v>
      </c>
      <c r="N51" s="265">
        <v>71</v>
      </c>
      <c r="O51" s="265">
        <v>29</v>
      </c>
      <c r="P51" s="264">
        <v>41</v>
      </c>
      <c r="Q51" s="264">
        <v>41</v>
      </c>
      <c r="R51" s="264">
        <v>777655</v>
      </c>
      <c r="S51" s="264">
        <v>552832</v>
      </c>
    </row>
    <row r="52" spans="1:19" ht="15">
      <c r="A52" s="154">
        <v>40</v>
      </c>
      <c r="B52" s="159" t="s">
        <v>233</v>
      </c>
      <c r="C52" s="264">
        <v>19</v>
      </c>
      <c r="D52" s="267">
        <v>53</v>
      </c>
      <c r="E52" s="267">
        <v>422</v>
      </c>
      <c r="F52" s="267">
        <v>181</v>
      </c>
      <c r="G52" s="267">
        <v>159</v>
      </c>
      <c r="H52" s="267">
        <v>242500</v>
      </c>
      <c r="I52" s="267">
        <v>9500</v>
      </c>
      <c r="J52" s="267"/>
      <c r="K52" s="267"/>
      <c r="L52" s="267">
        <v>22</v>
      </c>
      <c r="M52" s="264">
        <v>6</v>
      </c>
      <c r="N52" s="265">
        <v>120</v>
      </c>
      <c r="O52" s="265">
        <v>95</v>
      </c>
      <c r="P52" s="264">
        <v>115</v>
      </c>
      <c r="Q52" s="264">
        <v>115</v>
      </c>
      <c r="R52" s="264">
        <v>3508404</v>
      </c>
      <c r="S52" s="264">
        <v>2641605</v>
      </c>
    </row>
    <row r="53" spans="1:19" ht="15">
      <c r="A53" s="154">
        <v>41</v>
      </c>
      <c r="B53" s="159" t="s">
        <v>234</v>
      </c>
      <c r="C53" s="264">
        <v>10</v>
      </c>
      <c r="D53" s="264">
        <v>20</v>
      </c>
      <c r="E53" s="264">
        <v>193</v>
      </c>
      <c r="F53" s="264">
        <v>75</v>
      </c>
      <c r="G53" s="264">
        <v>96</v>
      </c>
      <c r="H53" s="264">
        <v>139000</v>
      </c>
      <c r="I53" s="264">
        <v>12600</v>
      </c>
      <c r="J53" s="264"/>
      <c r="K53" s="264"/>
      <c r="L53" s="264">
        <v>2</v>
      </c>
      <c r="M53" s="264">
        <v>4</v>
      </c>
      <c r="N53" s="265">
        <v>47</v>
      </c>
      <c r="O53" s="265">
        <v>43</v>
      </c>
      <c r="P53" s="264">
        <v>45</v>
      </c>
      <c r="Q53" s="264">
        <v>42</v>
      </c>
      <c r="R53" s="267">
        <v>330405136</v>
      </c>
      <c r="S53" s="267">
        <v>1156126</v>
      </c>
    </row>
    <row r="54" spans="1:19" ht="15">
      <c r="A54" s="154">
        <v>42</v>
      </c>
      <c r="B54" s="159" t="s">
        <v>235</v>
      </c>
      <c r="C54" s="264">
        <v>11</v>
      </c>
      <c r="D54" s="264">
        <v>19</v>
      </c>
      <c r="E54" s="264">
        <v>208</v>
      </c>
      <c r="F54" s="264">
        <v>38</v>
      </c>
      <c r="G54" s="264">
        <v>165</v>
      </c>
      <c r="H54" s="268" t="s">
        <v>290</v>
      </c>
      <c r="I54" s="268">
        <v>5000</v>
      </c>
      <c r="J54" s="264"/>
      <c r="K54" s="264"/>
      <c r="L54" s="264">
        <v>1</v>
      </c>
      <c r="M54" s="264">
        <v>2</v>
      </c>
      <c r="N54" s="265">
        <v>32</v>
      </c>
      <c r="O54" s="265">
        <v>12</v>
      </c>
      <c r="P54" s="264">
        <v>12</v>
      </c>
      <c r="Q54" s="264">
        <v>12</v>
      </c>
      <c r="R54" s="264">
        <v>103759</v>
      </c>
      <c r="S54" s="267" t="s">
        <v>93</v>
      </c>
    </row>
    <row r="55" spans="1:19" ht="15">
      <c r="A55" s="154">
        <v>43</v>
      </c>
      <c r="B55" s="159" t="s">
        <v>236</v>
      </c>
      <c r="C55" s="264">
        <v>9</v>
      </c>
      <c r="D55" s="264">
        <v>43</v>
      </c>
      <c r="E55" s="264">
        <v>148</v>
      </c>
      <c r="F55" s="264">
        <v>58</v>
      </c>
      <c r="G55" s="264">
        <v>90</v>
      </c>
      <c r="H55" s="264">
        <v>178741</v>
      </c>
      <c r="I55" s="264">
        <v>16823</v>
      </c>
      <c r="J55" s="264"/>
      <c r="K55" s="264"/>
      <c r="L55" s="264">
        <v>2</v>
      </c>
      <c r="M55" s="264">
        <v>5</v>
      </c>
      <c r="N55" s="265">
        <v>26</v>
      </c>
      <c r="O55" s="265">
        <v>20</v>
      </c>
      <c r="P55" s="264">
        <v>20</v>
      </c>
      <c r="Q55" s="264">
        <v>20</v>
      </c>
      <c r="R55" s="264">
        <v>177211</v>
      </c>
      <c r="S55" s="264">
        <v>22509</v>
      </c>
    </row>
    <row r="56" spans="1:19" ht="15">
      <c r="A56" s="154">
        <v>44</v>
      </c>
      <c r="B56" s="159" t="s">
        <v>237</v>
      </c>
      <c r="C56" s="267">
        <v>8</v>
      </c>
      <c r="D56" s="267">
        <v>13</v>
      </c>
      <c r="E56" s="267">
        <v>173</v>
      </c>
      <c r="F56" s="267">
        <v>84</v>
      </c>
      <c r="G56" s="267">
        <v>70</v>
      </c>
      <c r="H56" s="264">
        <v>103950</v>
      </c>
      <c r="I56" s="264">
        <v>4000</v>
      </c>
      <c r="J56" s="264"/>
      <c r="K56" s="264"/>
      <c r="L56" s="264">
        <v>5</v>
      </c>
      <c r="M56" s="264">
        <v>7</v>
      </c>
      <c r="N56" s="265">
        <v>54</v>
      </c>
      <c r="O56" s="265">
        <v>27</v>
      </c>
      <c r="P56" s="264">
        <v>34</v>
      </c>
      <c r="Q56" s="264">
        <v>34</v>
      </c>
      <c r="R56" s="264">
        <v>342634</v>
      </c>
      <c r="S56" s="264">
        <v>22715</v>
      </c>
    </row>
    <row r="57" spans="1:19" s="117" customFormat="1" ht="15.75">
      <c r="A57" s="154">
        <v>45</v>
      </c>
      <c r="B57" s="160" t="s">
        <v>243</v>
      </c>
      <c r="C57" s="267">
        <v>14</v>
      </c>
      <c r="D57" s="267">
        <v>19</v>
      </c>
      <c r="E57" s="267">
        <v>139</v>
      </c>
      <c r="F57" s="267">
        <v>81</v>
      </c>
      <c r="G57" s="267">
        <v>58</v>
      </c>
      <c r="H57" s="264">
        <v>267780</v>
      </c>
      <c r="I57" s="264">
        <v>25630</v>
      </c>
      <c r="J57" s="264"/>
      <c r="K57" s="264"/>
      <c r="L57" s="264">
        <v>1</v>
      </c>
      <c r="M57" s="264">
        <v>3</v>
      </c>
      <c r="N57" s="265">
        <v>13</v>
      </c>
      <c r="O57" s="265">
        <v>6</v>
      </c>
      <c r="P57" s="264">
        <v>66</v>
      </c>
      <c r="Q57" s="264">
        <v>53</v>
      </c>
      <c r="R57" s="264">
        <v>106856.05</v>
      </c>
      <c r="S57" s="264">
        <v>22375.908</v>
      </c>
    </row>
    <row r="58" spans="1:19" s="117" customFormat="1" ht="15.75">
      <c r="A58" s="154">
        <v>46</v>
      </c>
      <c r="B58" s="160" t="s">
        <v>244</v>
      </c>
      <c r="C58" s="267">
        <v>16</v>
      </c>
      <c r="D58" s="267">
        <v>29</v>
      </c>
      <c r="E58" s="267">
        <v>152</v>
      </c>
      <c r="F58" s="267">
        <v>46</v>
      </c>
      <c r="G58" s="267">
        <v>36</v>
      </c>
      <c r="H58" s="275" t="s">
        <v>290</v>
      </c>
      <c r="I58" s="275" t="s">
        <v>290</v>
      </c>
      <c r="J58" s="264"/>
      <c r="K58" s="264"/>
      <c r="L58" s="264">
        <v>20</v>
      </c>
      <c r="M58" s="267">
        <v>5</v>
      </c>
      <c r="N58" s="269">
        <f>62+20</f>
        <v>82</v>
      </c>
      <c r="O58" s="269">
        <f>40+17</f>
        <v>57</v>
      </c>
      <c r="P58" s="267">
        <f>40+17</f>
        <v>57</v>
      </c>
      <c r="Q58" s="267">
        <f>40+17</f>
        <v>57</v>
      </c>
      <c r="R58" s="267">
        <v>910108</v>
      </c>
      <c r="S58" s="267">
        <v>410068</v>
      </c>
    </row>
    <row r="59" spans="1:19" s="117" customFormat="1" ht="15.75">
      <c r="A59" s="154">
        <v>47</v>
      </c>
      <c r="B59" s="160" t="s">
        <v>245</v>
      </c>
      <c r="C59" s="267">
        <v>11</v>
      </c>
      <c r="D59" s="267">
        <v>19</v>
      </c>
      <c r="E59" s="267">
        <v>329</v>
      </c>
      <c r="F59" s="267">
        <v>151</v>
      </c>
      <c r="G59" s="267">
        <v>139</v>
      </c>
      <c r="H59" s="267">
        <f>354459+202</f>
        <v>354661</v>
      </c>
      <c r="I59" s="267">
        <f>22343</f>
        <v>22343</v>
      </c>
      <c r="J59" s="267"/>
      <c r="K59" s="267"/>
      <c r="L59" s="267">
        <v>14</v>
      </c>
      <c r="M59" s="267">
        <v>7</v>
      </c>
      <c r="N59" s="269">
        <v>47</v>
      </c>
      <c r="O59" s="269">
        <v>28</v>
      </c>
      <c r="P59" s="267">
        <v>39</v>
      </c>
      <c r="Q59" s="267">
        <v>32</v>
      </c>
      <c r="R59" s="267">
        <v>319045</v>
      </c>
      <c r="S59" s="267">
        <v>9164</v>
      </c>
    </row>
    <row r="60" spans="1:19" s="117" customFormat="1" ht="15.75">
      <c r="A60" s="154">
        <v>48</v>
      </c>
      <c r="B60" s="160" t="s">
        <v>246</v>
      </c>
      <c r="C60" s="267">
        <v>24</v>
      </c>
      <c r="D60" s="267">
        <v>48</v>
      </c>
      <c r="E60" s="267">
        <v>440</v>
      </c>
      <c r="F60" s="267">
        <v>112</v>
      </c>
      <c r="G60" s="267">
        <v>226</v>
      </c>
      <c r="H60" s="267">
        <v>405089.187</v>
      </c>
      <c r="I60" s="267">
        <v>45374.5</v>
      </c>
      <c r="J60" s="267"/>
      <c r="K60" s="267"/>
      <c r="L60" s="267">
        <v>11</v>
      </c>
      <c r="M60" s="267">
        <v>9</v>
      </c>
      <c r="N60" s="269">
        <v>126</v>
      </c>
      <c r="O60" s="269">
        <v>116</v>
      </c>
      <c r="P60" s="267">
        <v>126</v>
      </c>
      <c r="Q60" s="267">
        <v>116</v>
      </c>
      <c r="R60" s="267">
        <v>27425473</v>
      </c>
      <c r="S60" s="267">
        <v>1690035</v>
      </c>
    </row>
    <row r="61" spans="1:19" s="117" customFormat="1" ht="15.75">
      <c r="A61" s="154">
        <v>49</v>
      </c>
      <c r="B61" s="160" t="s">
        <v>247</v>
      </c>
      <c r="C61" s="267">
        <v>4</v>
      </c>
      <c r="D61" s="267">
        <v>9</v>
      </c>
      <c r="E61" s="267">
        <v>102</v>
      </c>
      <c r="F61" s="267">
        <v>75</v>
      </c>
      <c r="G61" s="267">
        <v>27</v>
      </c>
      <c r="H61" s="267">
        <v>80200</v>
      </c>
      <c r="I61" s="267">
        <v>4654</v>
      </c>
      <c r="J61" s="267"/>
      <c r="K61" s="267"/>
      <c r="L61" s="267">
        <v>2</v>
      </c>
      <c r="M61" s="267">
        <v>5</v>
      </c>
      <c r="N61" s="269">
        <v>14</v>
      </c>
      <c r="O61" s="269">
        <v>7</v>
      </c>
      <c r="P61" s="267">
        <v>152</v>
      </c>
      <c r="Q61" s="267">
        <v>123</v>
      </c>
      <c r="R61" s="267">
        <v>1503644</v>
      </c>
      <c r="S61" s="267">
        <v>1216390</v>
      </c>
    </row>
    <row r="62" spans="1:19" s="117" customFormat="1" ht="15.75">
      <c r="A62" s="154">
        <v>50</v>
      </c>
      <c r="B62" s="160" t="s">
        <v>248</v>
      </c>
      <c r="C62" s="267">
        <v>22</v>
      </c>
      <c r="D62" s="267">
        <v>30</v>
      </c>
      <c r="E62" s="267">
        <v>748</v>
      </c>
      <c r="F62" s="267">
        <v>329</v>
      </c>
      <c r="G62" s="267">
        <v>325</v>
      </c>
      <c r="H62" s="264">
        <v>533770</v>
      </c>
      <c r="I62" s="264">
        <v>77900</v>
      </c>
      <c r="J62" s="264"/>
      <c r="K62" s="264"/>
      <c r="L62" s="264">
        <v>1</v>
      </c>
      <c r="M62" s="264">
        <v>3</v>
      </c>
      <c r="N62" s="265">
        <v>76</v>
      </c>
      <c r="O62" s="265">
        <v>15</v>
      </c>
      <c r="P62" s="264">
        <f>15+4</f>
        <v>19</v>
      </c>
      <c r="Q62" s="264">
        <f>15+4</f>
        <v>19</v>
      </c>
      <c r="R62" s="264">
        <f>52078.775+200410</f>
        <v>252488.775</v>
      </c>
      <c r="S62" s="264">
        <v>200410</v>
      </c>
    </row>
    <row r="63" spans="1:19" s="117" customFormat="1" ht="15.75">
      <c r="A63" s="154">
        <v>51</v>
      </c>
      <c r="B63" s="161" t="s">
        <v>249</v>
      </c>
      <c r="C63" s="264">
        <v>6</v>
      </c>
      <c r="D63" s="264">
        <v>9</v>
      </c>
      <c r="E63" s="264">
        <v>138</v>
      </c>
      <c r="F63" s="264">
        <v>120</v>
      </c>
      <c r="G63" s="264">
        <v>9</v>
      </c>
      <c r="H63" s="267">
        <v>0</v>
      </c>
      <c r="I63" s="267">
        <v>0</v>
      </c>
      <c r="J63" s="264"/>
      <c r="K63" s="264"/>
      <c r="L63" s="264">
        <v>1</v>
      </c>
      <c r="M63" s="264">
        <v>1</v>
      </c>
      <c r="N63" s="265">
        <v>38</v>
      </c>
      <c r="O63" s="265">
        <v>28</v>
      </c>
      <c r="P63" s="264">
        <v>33</v>
      </c>
      <c r="Q63" s="264">
        <v>32</v>
      </c>
      <c r="R63" s="264">
        <v>210829.5</v>
      </c>
      <c r="S63" s="264">
        <v>92854.7</v>
      </c>
    </row>
    <row r="64" spans="1:19" s="117" customFormat="1" ht="15.75">
      <c r="A64" s="154">
        <v>52</v>
      </c>
      <c r="B64" s="161" t="s">
        <v>250</v>
      </c>
      <c r="C64" s="267">
        <v>27</v>
      </c>
      <c r="D64" s="267">
        <v>34</v>
      </c>
      <c r="E64" s="267">
        <v>607</v>
      </c>
      <c r="F64" s="267">
        <v>198</v>
      </c>
      <c r="G64" s="267">
        <v>349</v>
      </c>
      <c r="H64" s="264">
        <v>346121</v>
      </c>
      <c r="I64" s="264">
        <v>64631</v>
      </c>
      <c r="J64" s="264"/>
      <c r="K64" s="264"/>
      <c r="L64" s="264">
        <v>2</v>
      </c>
      <c r="M64" s="264">
        <v>2</v>
      </c>
      <c r="N64" s="265">
        <v>318</v>
      </c>
      <c r="O64" s="265">
        <v>67</v>
      </c>
      <c r="P64" s="264">
        <v>97</v>
      </c>
      <c r="Q64" s="264">
        <v>97</v>
      </c>
      <c r="R64" s="264">
        <v>3884331</v>
      </c>
      <c r="S64" s="264">
        <v>3234616</v>
      </c>
    </row>
    <row r="65" spans="1:19" s="117" customFormat="1" ht="15.75">
      <c r="A65" s="154">
        <v>53</v>
      </c>
      <c r="B65" s="161" t="s">
        <v>251</v>
      </c>
      <c r="C65" s="267">
        <v>11</v>
      </c>
      <c r="D65" s="267">
        <v>51</v>
      </c>
      <c r="E65" s="267">
        <v>361</v>
      </c>
      <c r="F65" s="267">
        <v>301</v>
      </c>
      <c r="G65" s="267">
        <v>41</v>
      </c>
      <c r="H65" s="275" t="s">
        <v>290</v>
      </c>
      <c r="I65" s="275" t="s">
        <v>290</v>
      </c>
      <c r="J65" s="264"/>
      <c r="K65" s="264"/>
      <c r="L65" s="264">
        <v>3</v>
      </c>
      <c r="M65" s="264">
        <v>5</v>
      </c>
      <c r="N65" s="265">
        <v>91</v>
      </c>
      <c r="O65" s="265">
        <v>61</v>
      </c>
      <c r="P65" s="264">
        <v>61</v>
      </c>
      <c r="Q65" s="264">
        <v>61</v>
      </c>
      <c r="R65" s="267">
        <v>0</v>
      </c>
      <c r="S65" s="267">
        <v>0</v>
      </c>
    </row>
    <row r="66" spans="1:19" s="117" customFormat="1" ht="15.75">
      <c r="A66" s="154">
        <v>54</v>
      </c>
      <c r="B66" s="161" t="s">
        <v>252</v>
      </c>
      <c r="C66" s="267">
        <v>19</v>
      </c>
      <c r="D66" s="267">
        <v>25</v>
      </c>
      <c r="E66" s="267">
        <v>290</v>
      </c>
      <c r="F66" s="267">
        <v>92</v>
      </c>
      <c r="G66" s="267">
        <v>198</v>
      </c>
      <c r="H66" s="275" t="s">
        <v>290</v>
      </c>
      <c r="I66" s="275" t="s">
        <v>290</v>
      </c>
      <c r="J66" s="264"/>
      <c r="K66" s="264"/>
      <c r="L66" s="264">
        <v>1</v>
      </c>
      <c r="M66" s="264">
        <v>2</v>
      </c>
      <c r="N66" s="265">
        <v>47</v>
      </c>
      <c r="O66" s="265">
        <v>28</v>
      </c>
      <c r="P66" s="264"/>
      <c r="Q66" s="264"/>
      <c r="R66" s="264">
        <v>668819</v>
      </c>
      <c r="S66" s="268" t="s">
        <v>290</v>
      </c>
    </row>
    <row r="67" spans="1:19" s="117" customFormat="1" ht="15.75">
      <c r="A67" s="154">
        <v>55</v>
      </c>
      <c r="B67" s="161" t="s">
        <v>253</v>
      </c>
      <c r="C67" s="267">
        <v>12</v>
      </c>
      <c r="D67" s="267">
        <v>30</v>
      </c>
      <c r="E67" s="267">
        <v>2203</v>
      </c>
      <c r="F67" s="267">
        <v>261</v>
      </c>
      <c r="G67" s="267">
        <v>1942</v>
      </c>
      <c r="H67" s="264">
        <v>525862</v>
      </c>
      <c r="I67" s="264">
        <v>26921</v>
      </c>
      <c r="J67" s="264"/>
      <c r="K67" s="264"/>
      <c r="L67" s="264">
        <v>10</v>
      </c>
      <c r="M67" s="264">
        <v>17</v>
      </c>
      <c r="N67" s="265">
        <v>126</v>
      </c>
      <c r="O67" s="265">
        <v>88</v>
      </c>
      <c r="P67" s="264">
        <v>88</v>
      </c>
      <c r="Q67" s="264">
        <v>88</v>
      </c>
      <c r="R67" s="264">
        <v>941216</v>
      </c>
      <c r="S67" s="264">
        <v>92641</v>
      </c>
    </row>
    <row r="68" spans="1:19" s="117" customFormat="1" ht="15.75">
      <c r="A68" s="154">
        <v>56</v>
      </c>
      <c r="B68" s="161" t="s">
        <v>254</v>
      </c>
      <c r="C68" s="267">
        <v>12</v>
      </c>
      <c r="D68" s="267">
        <v>26</v>
      </c>
      <c r="E68" s="267">
        <v>443</v>
      </c>
      <c r="F68" s="267">
        <v>94</v>
      </c>
      <c r="G68" s="267">
        <v>201</v>
      </c>
      <c r="H68" s="264">
        <v>439247</v>
      </c>
      <c r="I68" s="264">
        <v>42269</v>
      </c>
      <c r="J68" s="264"/>
      <c r="K68" s="264"/>
      <c r="L68" s="264">
        <v>3</v>
      </c>
      <c r="M68" s="264">
        <v>11</v>
      </c>
      <c r="N68" s="265">
        <v>214</v>
      </c>
      <c r="O68" s="265">
        <v>199</v>
      </c>
      <c r="P68" s="264">
        <v>199</v>
      </c>
      <c r="Q68" s="264">
        <v>199</v>
      </c>
      <c r="R68" s="264">
        <v>418271</v>
      </c>
      <c r="S68" s="264">
        <v>41827</v>
      </c>
    </row>
    <row r="69" spans="1:19" s="117" customFormat="1" ht="15.75">
      <c r="A69" s="154">
        <v>57</v>
      </c>
      <c r="B69" s="161" t="s">
        <v>255</v>
      </c>
      <c r="C69" s="267">
        <v>31</v>
      </c>
      <c r="D69" s="267">
        <v>57</v>
      </c>
      <c r="E69" s="267">
        <f>2193+36</f>
        <v>2229</v>
      </c>
      <c r="F69" s="267">
        <f>732+1</f>
        <v>733</v>
      </c>
      <c r="G69" s="267">
        <f>634+35</f>
        <v>669</v>
      </c>
      <c r="H69" s="275" t="s">
        <v>290</v>
      </c>
      <c r="I69" s="275" t="s">
        <v>290</v>
      </c>
      <c r="J69" s="264"/>
      <c r="K69" s="264"/>
      <c r="L69" s="264">
        <v>2</v>
      </c>
      <c r="M69" s="264">
        <v>4</v>
      </c>
      <c r="N69" s="265">
        <v>374</v>
      </c>
      <c r="O69" s="265">
        <v>68</v>
      </c>
      <c r="P69" s="264">
        <v>71</v>
      </c>
      <c r="Q69" s="264">
        <v>71</v>
      </c>
      <c r="R69" s="264">
        <v>554614</v>
      </c>
      <c r="S69" s="264">
        <v>41071</v>
      </c>
    </row>
    <row r="70" spans="1:19" s="117" customFormat="1" ht="15.75">
      <c r="A70" s="154">
        <v>58</v>
      </c>
      <c r="B70" s="161" t="s">
        <v>256</v>
      </c>
      <c r="C70" s="267">
        <v>1145</v>
      </c>
      <c r="D70" s="267">
        <v>3075</v>
      </c>
      <c r="E70" s="267">
        <v>20780</v>
      </c>
      <c r="F70" s="267">
        <v>1687</v>
      </c>
      <c r="G70" s="267">
        <v>11409</v>
      </c>
      <c r="H70" s="264">
        <v>400840161</v>
      </c>
      <c r="I70" s="264">
        <v>110218622</v>
      </c>
      <c r="J70" s="264">
        <v>47</v>
      </c>
      <c r="K70" s="264"/>
      <c r="L70" s="267">
        <v>42</v>
      </c>
      <c r="M70" s="267">
        <v>63</v>
      </c>
      <c r="N70" s="269">
        <f>207+975</f>
        <v>1182</v>
      </c>
      <c r="O70" s="269">
        <f>86+290</f>
        <v>376</v>
      </c>
      <c r="P70" s="267">
        <f>119+510+271</f>
        <v>900</v>
      </c>
      <c r="Q70" s="267">
        <f>119+487+214</f>
        <v>820</v>
      </c>
      <c r="R70" s="268" t="s">
        <v>290</v>
      </c>
      <c r="S70" s="267">
        <v>15218856</v>
      </c>
    </row>
    <row r="71" spans="1:19" s="117" customFormat="1" ht="15.75">
      <c r="A71" s="154">
        <v>59</v>
      </c>
      <c r="B71" s="161" t="s">
        <v>257</v>
      </c>
      <c r="C71" s="267">
        <v>11</v>
      </c>
      <c r="D71" s="267">
        <v>17</v>
      </c>
      <c r="E71" s="267">
        <v>338</v>
      </c>
      <c r="F71" s="267">
        <v>168</v>
      </c>
      <c r="G71" s="267">
        <v>170</v>
      </c>
      <c r="H71" s="267">
        <v>0</v>
      </c>
      <c r="I71" s="267">
        <v>0</v>
      </c>
      <c r="J71" s="264"/>
      <c r="K71" s="264"/>
      <c r="L71" s="264">
        <v>3</v>
      </c>
      <c r="M71" s="264">
        <v>3</v>
      </c>
      <c r="N71" s="265">
        <v>290</v>
      </c>
      <c r="O71" s="265">
        <v>21</v>
      </c>
      <c r="P71" s="264">
        <v>37</v>
      </c>
      <c r="Q71" s="264">
        <v>37</v>
      </c>
      <c r="R71" s="264">
        <v>321890</v>
      </c>
      <c r="S71" s="267">
        <v>104014</v>
      </c>
    </row>
    <row r="72" spans="1:19" s="117" customFormat="1" ht="15.75">
      <c r="A72" s="154">
        <v>60</v>
      </c>
      <c r="B72" s="161" t="s">
        <v>258</v>
      </c>
      <c r="C72" s="267">
        <v>8</v>
      </c>
      <c r="D72" s="267">
        <v>12</v>
      </c>
      <c r="E72" s="267">
        <v>51</v>
      </c>
      <c r="F72" s="267">
        <v>51</v>
      </c>
      <c r="G72" s="267">
        <v>0</v>
      </c>
      <c r="H72" s="267">
        <v>62500</v>
      </c>
      <c r="I72" s="275" t="s">
        <v>290</v>
      </c>
      <c r="J72" s="264"/>
      <c r="K72" s="264"/>
      <c r="L72" s="264">
        <v>7</v>
      </c>
      <c r="M72" s="264">
        <v>2</v>
      </c>
      <c r="N72" s="265">
        <v>79</v>
      </c>
      <c r="O72" s="265">
        <v>75</v>
      </c>
      <c r="P72" s="264">
        <v>176</v>
      </c>
      <c r="Q72" s="264">
        <v>172</v>
      </c>
      <c r="R72" s="264">
        <v>2323258.9</v>
      </c>
      <c r="S72" s="267">
        <v>2070195</v>
      </c>
    </row>
    <row r="73" spans="1:19" s="129" customFormat="1" ht="15.75">
      <c r="A73" s="154">
        <v>61</v>
      </c>
      <c r="B73" s="161" t="s">
        <v>259</v>
      </c>
      <c r="C73" s="267">
        <v>26</v>
      </c>
      <c r="D73" s="267">
        <v>39</v>
      </c>
      <c r="E73" s="267">
        <v>596</v>
      </c>
      <c r="F73" s="267">
        <v>277</v>
      </c>
      <c r="G73" s="267">
        <v>152</v>
      </c>
      <c r="H73" s="267">
        <v>587292.657</v>
      </c>
      <c r="I73" s="267">
        <v>27586.493</v>
      </c>
      <c r="J73" s="267"/>
      <c r="K73" s="267"/>
      <c r="L73" s="267">
        <v>11</v>
      </c>
      <c r="M73" s="267">
        <v>4</v>
      </c>
      <c r="N73" s="269">
        <v>176</v>
      </c>
      <c r="O73" s="269">
        <v>26</v>
      </c>
      <c r="P73" s="267">
        <v>51</v>
      </c>
      <c r="Q73" s="267">
        <v>51</v>
      </c>
      <c r="R73" s="267">
        <v>385342.947</v>
      </c>
      <c r="S73" s="267">
        <v>7660.546</v>
      </c>
    </row>
    <row r="74" spans="1:19" s="117" customFormat="1" ht="18.75" customHeight="1">
      <c r="A74" s="154">
        <v>62</v>
      </c>
      <c r="B74" s="161" t="s">
        <v>260</v>
      </c>
      <c r="C74" s="267">
        <v>9</v>
      </c>
      <c r="D74" s="267">
        <v>14</v>
      </c>
      <c r="E74" s="267">
        <v>1070</v>
      </c>
      <c r="F74" s="267">
        <v>193</v>
      </c>
      <c r="G74" s="267">
        <v>668</v>
      </c>
      <c r="H74" s="267">
        <v>684340</v>
      </c>
      <c r="I74" s="267">
        <v>16320</v>
      </c>
      <c r="J74" s="264"/>
      <c r="K74" s="264"/>
      <c r="L74" s="264">
        <v>4</v>
      </c>
      <c r="M74" s="264">
        <v>14</v>
      </c>
      <c r="N74" s="265">
        <v>62</v>
      </c>
      <c r="O74" s="265">
        <v>42</v>
      </c>
      <c r="P74" s="264">
        <v>42</v>
      </c>
      <c r="Q74" s="264">
        <v>42</v>
      </c>
      <c r="R74" s="267">
        <v>121124.661</v>
      </c>
      <c r="S74" s="267">
        <v>121124.661</v>
      </c>
    </row>
    <row r="75" spans="1:19" s="117" customFormat="1" ht="15.75">
      <c r="A75" s="154">
        <v>63</v>
      </c>
      <c r="B75" s="161" t="s">
        <v>261</v>
      </c>
      <c r="C75" s="267">
        <v>4</v>
      </c>
      <c r="D75" s="267">
        <v>7</v>
      </c>
      <c r="E75" s="267">
        <v>182</v>
      </c>
      <c r="F75" s="267">
        <v>42</v>
      </c>
      <c r="G75" s="267">
        <v>89</v>
      </c>
      <c r="H75" s="267">
        <v>36700</v>
      </c>
      <c r="I75" s="267">
        <v>2700</v>
      </c>
      <c r="J75" s="264"/>
      <c r="K75" s="264"/>
      <c r="L75" s="264">
        <v>1</v>
      </c>
      <c r="M75" s="264">
        <v>5</v>
      </c>
      <c r="N75" s="265">
        <v>25</v>
      </c>
      <c r="O75" s="265">
        <v>23</v>
      </c>
      <c r="P75" s="264">
        <v>228</v>
      </c>
      <c r="Q75" s="264">
        <v>228</v>
      </c>
      <c r="R75" s="264">
        <v>193131</v>
      </c>
      <c r="S75" s="267">
        <v>0</v>
      </c>
    </row>
    <row r="77" ht="12.75" customHeight="1"/>
    <row r="78" spans="1:19" s="210" customFormat="1" ht="12.75">
      <c r="A78" s="47"/>
      <c r="B78" s="47" t="s">
        <v>264</v>
      </c>
      <c r="C78" s="47" t="s">
        <v>286</v>
      </c>
      <c r="D78" s="47"/>
      <c r="E78" s="47"/>
      <c r="F78" s="47"/>
      <c r="G78" s="47"/>
      <c r="H78" s="47"/>
      <c r="I78" s="47"/>
      <c r="J78" s="47"/>
      <c r="K78" s="212"/>
      <c r="L78" s="47"/>
      <c r="M78" s="47"/>
      <c r="N78" s="47"/>
      <c r="O78" s="47"/>
      <c r="P78" s="47"/>
      <c r="Q78" s="47"/>
      <c r="R78" s="47"/>
      <c r="S78" s="47"/>
    </row>
    <row r="79" spans="1:19" s="211" customFormat="1" ht="12.75">
      <c r="A79" s="47"/>
      <c r="B79" s="210" t="s">
        <v>288</v>
      </c>
      <c r="C79" s="47" t="s">
        <v>294</v>
      </c>
      <c r="F79" s="47"/>
      <c r="G79" s="47"/>
      <c r="H79" s="47"/>
      <c r="I79" s="47"/>
      <c r="J79" s="47"/>
      <c r="K79" s="212"/>
      <c r="L79" s="47"/>
      <c r="M79" s="47"/>
      <c r="N79" s="47"/>
      <c r="O79" s="47"/>
      <c r="P79" s="47"/>
      <c r="Q79" s="47"/>
      <c r="R79" s="47"/>
      <c r="S79" s="47"/>
    </row>
    <row r="80" spans="1:19" s="211" customFormat="1" ht="12.75">
      <c r="A80" s="47"/>
      <c r="B80" s="47" t="s">
        <v>293</v>
      </c>
      <c r="C80" s="47" t="s">
        <v>298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214"/>
    </row>
    <row r="81" spans="1:19" s="211" customFormat="1" ht="16.5" customHeight="1">
      <c r="A81" s="47"/>
      <c r="B81" s="210" t="s">
        <v>289</v>
      </c>
      <c r="C81" s="47" t="s">
        <v>287</v>
      </c>
      <c r="F81" s="47"/>
      <c r="G81" s="47"/>
      <c r="H81" s="47"/>
      <c r="I81" s="47"/>
      <c r="J81" s="47"/>
      <c r="K81" s="212"/>
      <c r="L81" s="47"/>
      <c r="M81" s="47"/>
      <c r="N81" s="47"/>
      <c r="O81" s="47"/>
      <c r="P81" s="47"/>
      <c r="Q81" s="47"/>
      <c r="R81" s="47"/>
      <c r="S81" s="47"/>
    </row>
    <row r="82" spans="1:19" s="211" customFormat="1" ht="12.75">
      <c r="A82" s="47"/>
      <c r="B82" s="47" t="s">
        <v>295</v>
      </c>
      <c r="C82" s="224" t="s">
        <v>299</v>
      </c>
      <c r="D82" s="225"/>
      <c r="E82" s="224"/>
      <c r="F82" s="224"/>
      <c r="G82" s="224"/>
      <c r="H82" s="224"/>
      <c r="I82" s="224"/>
      <c r="J82" s="224"/>
      <c r="K82" s="226"/>
      <c r="L82" s="47"/>
      <c r="M82" s="47"/>
      <c r="N82" s="47"/>
      <c r="O82" s="47"/>
      <c r="P82" s="47"/>
      <c r="Q82" s="47"/>
      <c r="R82" s="47"/>
      <c r="S82" s="47"/>
    </row>
    <row r="83" spans="2:3" ht="12.75" customHeight="1">
      <c r="B83" s="309"/>
      <c r="C83" s="47" t="s">
        <v>322</v>
      </c>
    </row>
    <row r="84" spans="1:9" ht="12.75" customHeight="1">
      <c r="A84" s="174" t="s">
        <v>275</v>
      </c>
      <c r="B84" s="428" t="s">
        <v>276</v>
      </c>
      <c r="C84" s="428"/>
      <c r="D84" s="428"/>
      <c r="E84" s="428"/>
      <c r="F84" s="428"/>
      <c r="G84" s="428"/>
      <c r="H84" s="428"/>
      <c r="I84" s="428"/>
    </row>
    <row r="85" spans="1:9" ht="12.75" customHeight="1">
      <c r="A85" s="174"/>
      <c r="B85" s="428" t="s">
        <v>277</v>
      </c>
      <c r="C85" s="428"/>
      <c r="D85" s="428"/>
      <c r="E85" s="428"/>
      <c r="F85" s="428"/>
      <c r="G85" s="428"/>
      <c r="H85" s="428"/>
      <c r="I85" s="428"/>
    </row>
    <row r="86" spans="1:11" ht="12.75" customHeight="1">
      <c r="A86" s="174"/>
      <c r="B86" s="428" t="s">
        <v>278</v>
      </c>
      <c r="C86" s="428"/>
      <c r="D86" s="428"/>
      <c r="E86" s="428"/>
      <c r="F86" s="428"/>
      <c r="G86" s="428"/>
      <c r="H86" s="428"/>
      <c r="I86" s="428"/>
      <c r="J86" s="34"/>
      <c r="K86" s="34"/>
    </row>
    <row r="87" spans="1:14" ht="12.75" customHeight="1">
      <c r="A87" s="174" t="s">
        <v>275</v>
      </c>
      <c r="B87" s="428" t="s">
        <v>273</v>
      </c>
      <c r="C87" s="428"/>
      <c r="D87" s="428"/>
      <c r="E87" s="428"/>
      <c r="F87" s="428"/>
      <c r="G87" s="428"/>
      <c r="H87" s="428"/>
      <c r="I87" s="428"/>
      <c r="J87" s="173"/>
      <c r="K87" s="173"/>
      <c r="L87" s="173"/>
      <c r="M87" s="173"/>
      <c r="N87" s="173"/>
    </row>
    <row r="88" spans="1:19" s="33" customFormat="1" ht="12.75" customHeight="1">
      <c r="A88" s="174"/>
      <c r="B88" s="428" t="s">
        <v>279</v>
      </c>
      <c r="C88" s="428"/>
      <c r="D88" s="428"/>
      <c r="E88" s="428"/>
      <c r="F88" s="428"/>
      <c r="G88" s="428"/>
      <c r="H88" s="428"/>
      <c r="I88" s="428"/>
      <c r="J88" s="173"/>
      <c r="K88" s="173"/>
      <c r="L88" s="173"/>
      <c r="M88" s="173"/>
      <c r="N88" s="173"/>
      <c r="O88"/>
      <c r="P88"/>
      <c r="Q88"/>
      <c r="R88"/>
      <c r="S88"/>
    </row>
    <row r="89" spans="1:14" ht="12.75" customHeight="1">
      <c r="A89" s="174"/>
      <c r="B89" s="172" t="s">
        <v>280</v>
      </c>
      <c r="C89" s="172"/>
      <c r="D89" s="172"/>
      <c r="E89" s="172"/>
      <c r="F89" s="172"/>
      <c r="G89" s="172"/>
      <c r="H89" s="172"/>
      <c r="I89" s="172"/>
      <c r="J89" s="173"/>
      <c r="K89" s="173"/>
      <c r="L89" s="173"/>
      <c r="M89" s="173"/>
      <c r="N89" s="173"/>
    </row>
    <row r="90" spans="1:14" ht="12.75" customHeight="1">
      <c r="A90" s="174"/>
      <c r="B90" s="428" t="s">
        <v>281</v>
      </c>
      <c r="C90" s="428"/>
      <c r="D90" s="428"/>
      <c r="E90" s="428"/>
      <c r="F90" s="428"/>
      <c r="G90" s="428"/>
      <c r="H90" s="428"/>
      <c r="I90" s="428"/>
      <c r="J90" s="173"/>
      <c r="K90" s="173"/>
      <c r="L90" s="173"/>
      <c r="M90" s="173"/>
      <c r="N90" s="173"/>
    </row>
    <row r="91" spans="1:14" ht="12.75" customHeight="1">
      <c r="A91" s="174" t="s">
        <v>275</v>
      </c>
      <c r="B91" s="446" t="s">
        <v>274</v>
      </c>
      <c r="C91" s="446"/>
      <c r="D91" s="446"/>
      <c r="E91" s="446"/>
      <c r="F91" s="446"/>
      <c r="G91" s="446"/>
      <c r="H91" s="446"/>
      <c r="I91" s="446"/>
      <c r="J91" s="446"/>
      <c r="K91" s="446"/>
      <c r="L91" s="446"/>
      <c r="M91" s="446"/>
      <c r="N91" s="173"/>
    </row>
    <row r="92" spans="1:14" ht="12.75" customHeight="1">
      <c r="A92" s="174" t="s">
        <v>275</v>
      </c>
      <c r="B92" s="172" t="s">
        <v>265</v>
      </c>
      <c r="C92" s="172"/>
      <c r="D92" s="172"/>
      <c r="E92" s="172"/>
      <c r="F92" s="172"/>
      <c r="G92" s="172"/>
      <c r="H92" s="172"/>
      <c r="I92" s="172"/>
      <c r="J92" s="173"/>
      <c r="K92" s="173"/>
      <c r="L92" s="173"/>
      <c r="M92" s="173"/>
      <c r="N92" s="173"/>
    </row>
    <row r="93" spans="1:14" ht="12.75" customHeight="1">
      <c r="A93" s="174" t="s">
        <v>275</v>
      </c>
      <c r="B93" s="446" t="s">
        <v>282</v>
      </c>
      <c r="C93" s="446"/>
      <c r="D93" s="446"/>
      <c r="E93" s="446"/>
      <c r="F93" s="446"/>
      <c r="G93" s="446"/>
      <c r="H93" s="446"/>
      <c r="I93" s="446"/>
      <c r="J93" s="446"/>
      <c r="K93" s="446"/>
      <c r="L93" s="446"/>
      <c r="M93" s="446"/>
      <c r="N93" s="446"/>
    </row>
    <row r="94" spans="1:14" ht="12.75" customHeight="1">
      <c r="A94" s="174" t="s">
        <v>275</v>
      </c>
      <c r="B94" s="446" t="s">
        <v>283</v>
      </c>
      <c r="C94" s="446"/>
      <c r="D94" s="446"/>
      <c r="E94" s="446"/>
      <c r="F94" s="446"/>
      <c r="G94" s="446"/>
      <c r="H94" s="446"/>
      <c r="I94" s="446"/>
      <c r="J94" s="446"/>
      <c r="K94" s="446"/>
      <c r="L94" s="173"/>
      <c r="M94" s="173"/>
      <c r="N94" s="173"/>
    </row>
    <row r="95" spans="1:14" ht="12.75" customHeight="1">
      <c r="A95" s="174" t="s">
        <v>275</v>
      </c>
      <c r="B95" s="446" t="s">
        <v>266</v>
      </c>
      <c r="C95" s="446"/>
      <c r="D95" s="446"/>
      <c r="E95" s="446"/>
      <c r="F95" s="446"/>
      <c r="G95" s="446"/>
      <c r="H95" s="446"/>
      <c r="I95" s="446"/>
      <c r="J95" s="446"/>
      <c r="K95" s="446"/>
      <c r="L95" s="446"/>
      <c r="M95" s="173"/>
      <c r="N95" s="173"/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21.75" customHeight="1"/>
    <row r="141" spans="12:19" ht="18">
      <c r="L141" s="23"/>
      <c r="M141" s="23"/>
      <c r="N141" s="23"/>
      <c r="O141" s="23"/>
      <c r="P141" s="23"/>
      <c r="Q141" s="23"/>
      <c r="R141" s="23"/>
      <c r="S141" s="23"/>
    </row>
    <row r="142" spans="12:19" ht="18">
      <c r="L142" s="23"/>
      <c r="M142" s="23"/>
      <c r="N142" s="23"/>
      <c r="O142" s="23"/>
      <c r="P142" s="23"/>
      <c r="Q142" s="23"/>
      <c r="R142" s="23"/>
      <c r="S142" s="23"/>
    </row>
    <row r="143" spans="12:19" ht="18">
      <c r="L143" s="23"/>
      <c r="M143" s="23"/>
      <c r="N143" s="23"/>
      <c r="O143" s="23"/>
      <c r="P143" s="23"/>
      <c r="Q143" s="23"/>
      <c r="R143" s="23"/>
      <c r="S143" s="23"/>
    </row>
    <row r="144" spans="12:19" ht="18">
      <c r="L144" s="23"/>
      <c r="M144" s="23"/>
      <c r="N144" s="23"/>
      <c r="O144" s="23"/>
      <c r="P144" s="23"/>
      <c r="Q144" s="23"/>
      <c r="R144" s="23"/>
      <c r="S144" s="23"/>
    </row>
    <row r="145" spans="12:19" ht="18">
      <c r="L145" s="23"/>
      <c r="M145" s="23"/>
      <c r="N145" s="23"/>
      <c r="O145" s="23"/>
      <c r="P145" s="23"/>
      <c r="Q145" s="23"/>
      <c r="R145" s="23"/>
      <c r="S145" s="23"/>
    </row>
    <row r="146" spans="12:19" ht="18">
      <c r="L146" s="23"/>
      <c r="M146" s="23"/>
      <c r="N146" s="23"/>
      <c r="O146" s="23"/>
      <c r="P146" s="23"/>
      <c r="Q146" s="23"/>
      <c r="R146" s="23"/>
      <c r="S146" s="23"/>
    </row>
    <row r="147" spans="12:19" ht="18">
      <c r="L147" s="23"/>
      <c r="M147" s="23"/>
      <c r="N147" s="23"/>
      <c r="O147" s="23"/>
      <c r="P147" s="23"/>
      <c r="Q147" s="23"/>
      <c r="R147" s="23"/>
      <c r="S147" s="23"/>
    </row>
    <row r="148" spans="12:19" ht="18">
      <c r="L148" s="23"/>
      <c r="M148" s="23"/>
      <c r="N148" s="23"/>
      <c r="O148" s="23"/>
      <c r="P148" s="23"/>
      <c r="Q148" s="23"/>
      <c r="R148" s="23"/>
      <c r="S148" s="23"/>
    </row>
    <row r="149" spans="12:19" ht="18">
      <c r="L149" s="23"/>
      <c r="M149" s="23"/>
      <c r="N149" s="23"/>
      <c r="O149" s="23"/>
      <c r="P149" s="23"/>
      <c r="Q149" s="23"/>
      <c r="R149" s="23"/>
      <c r="S149" s="23"/>
    </row>
    <row r="150" spans="12:19" ht="18">
      <c r="L150" s="23"/>
      <c r="M150" s="23"/>
      <c r="N150" s="23"/>
      <c r="O150" s="23"/>
      <c r="P150" s="23"/>
      <c r="Q150" s="23"/>
      <c r="R150" s="23"/>
      <c r="S150" s="23"/>
    </row>
    <row r="151" spans="12:19" ht="18">
      <c r="L151" s="23"/>
      <c r="M151" s="23"/>
      <c r="N151" s="23"/>
      <c r="O151" s="23"/>
      <c r="P151" s="23"/>
      <c r="Q151" s="23"/>
      <c r="R151" s="23"/>
      <c r="S151" s="23"/>
    </row>
    <row r="152" spans="12:19" ht="18">
      <c r="L152" s="23"/>
      <c r="M152" s="23"/>
      <c r="N152" s="23"/>
      <c r="O152" s="23"/>
      <c r="P152" s="23"/>
      <c r="Q152" s="23"/>
      <c r="R152" s="23"/>
      <c r="S152" s="23"/>
    </row>
    <row r="153" spans="12:19" ht="18">
      <c r="L153" s="23"/>
      <c r="M153" s="23"/>
      <c r="N153" s="23"/>
      <c r="O153" s="23"/>
      <c r="P153" s="23"/>
      <c r="Q153" s="23"/>
      <c r="R153" s="23"/>
      <c r="S153" s="23"/>
    </row>
    <row r="154" spans="12:19" ht="18">
      <c r="L154" s="23"/>
      <c r="M154" s="23"/>
      <c r="N154" s="23"/>
      <c r="O154" s="23"/>
      <c r="P154" s="23"/>
      <c r="Q154" s="23"/>
      <c r="R154" s="23"/>
      <c r="S154" s="23"/>
    </row>
    <row r="155" spans="12:19" ht="18">
      <c r="L155" s="23"/>
      <c r="M155" s="23"/>
      <c r="N155" s="23"/>
      <c r="O155" s="23"/>
      <c r="P155" s="23"/>
      <c r="Q155" s="23"/>
      <c r="R155" s="23"/>
      <c r="S155" s="23"/>
    </row>
    <row r="156" spans="12:19" ht="18">
      <c r="L156" s="23"/>
      <c r="M156" s="23"/>
      <c r="N156" s="23"/>
      <c r="O156" s="23"/>
      <c r="P156" s="23"/>
      <c r="Q156" s="23"/>
      <c r="R156" s="23"/>
      <c r="S156" s="23"/>
    </row>
    <row r="157" spans="12:19" ht="18">
      <c r="L157" s="23"/>
      <c r="M157" s="23"/>
      <c r="N157" s="23"/>
      <c r="O157" s="23"/>
      <c r="P157" s="23"/>
      <c r="Q157" s="23"/>
      <c r="R157" s="23"/>
      <c r="S157" s="23"/>
    </row>
    <row r="158" spans="12:19" ht="18">
      <c r="L158" s="23"/>
      <c r="M158" s="23"/>
      <c r="N158" s="23"/>
      <c r="O158" s="23"/>
      <c r="P158" s="23"/>
      <c r="Q158" s="23"/>
      <c r="R158" s="23"/>
      <c r="S158" s="23"/>
    </row>
    <row r="159" spans="12:19" ht="18">
      <c r="L159" s="23"/>
      <c r="M159" s="23"/>
      <c r="N159" s="23"/>
      <c r="O159" s="23"/>
      <c r="P159" s="23"/>
      <c r="Q159" s="23"/>
      <c r="R159" s="23"/>
      <c r="S159" s="23"/>
    </row>
    <row r="160" spans="12:19" ht="18">
      <c r="L160" s="23"/>
      <c r="M160" s="23"/>
      <c r="N160" s="23"/>
      <c r="O160" s="23"/>
      <c r="P160" s="23"/>
      <c r="Q160" s="23"/>
      <c r="R160" s="23"/>
      <c r="S160" s="23"/>
    </row>
    <row r="161" spans="12:19" ht="18">
      <c r="L161" s="23"/>
      <c r="M161" s="23"/>
      <c r="N161" s="23"/>
      <c r="O161" s="23"/>
      <c r="P161" s="23"/>
      <c r="Q161" s="23"/>
      <c r="R161" s="23"/>
      <c r="S161" s="23"/>
    </row>
    <row r="162" spans="12:19" ht="18">
      <c r="L162" s="23"/>
      <c r="M162" s="23"/>
      <c r="N162" s="23"/>
      <c r="O162" s="23"/>
      <c r="P162" s="23"/>
      <c r="Q162" s="23"/>
      <c r="R162" s="23"/>
      <c r="S162" s="23"/>
    </row>
    <row r="163" spans="12:19" ht="18">
      <c r="L163" s="23"/>
      <c r="M163" s="23"/>
      <c r="N163" s="23"/>
      <c r="O163" s="23"/>
      <c r="P163" s="23"/>
      <c r="Q163" s="23"/>
      <c r="R163" s="23"/>
      <c r="S163" s="23"/>
    </row>
    <row r="164" spans="12:19" ht="18">
      <c r="L164" s="23"/>
      <c r="M164" s="23"/>
      <c r="N164" s="23"/>
      <c r="O164" s="23"/>
      <c r="P164" s="23"/>
      <c r="Q164" s="23"/>
      <c r="R164" s="23"/>
      <c r="S164" s="23"/>
    </row>
    <row r="165" spans="12:19" ht="18">
      <c r="L165" s="23"/>
      <c r="M165" s="23"/>
      <c r="N165" s="23"/>
      <c r="O165" s="23"/>
      <c r="P165" s="23"/>
      <c r="Q165" s="23"/>
      <c r="R165" s="23"/>
      <c r="S165" s="23"/>
    </row>
    <row r="166" spans="12:19" ht="18">
      <c r="L166" s="23"/>
      <c r="M166" s="23"/>
      <c r="N166" s="23"/>
      <c r="O166" s="23"/>
      <c r="P166" s="23"/>
      <c r="Q166" s="23"/>
      <c r="R166" s="23"/>
      <c r="S166" s="23"/>
    </row>
  </sheetData>
  <sheetProtection/>
  <mergeCells count="42">
    <mergeCell ref="B94:K94"/>
    <mergeCell ref="B95:L95"/>
    <mergeCell ref="B87:I87"/>
    <mergeCell ref="B88:I88"/>
    <mergeCell ref="B90:I90"/>
    <mergeCell ref="B91:M91"/>
    <mergeCell ref="B93:N93"/>
    <mergeCell ref="M8:M10"/>
    <mergeCell ref="N8:O8"/>
    <mergeCell ref="P8:Q8"/>
    <mergeCell ref="O9:O10"/>
    <mergeCell ref="N9:N10"/>
    <mergeCell ref="B86:I86"/>
    <mergeCell ref="A6:B10"/>
    <mergeCell ref="L6:S7"/>
    <mergeCell ref="A2:S2"/>
    <mergeCell ref="A1:B1"/>
    <mergeCell ref="A3:S3"/>
    <mergeCell ref="A4:S4"/>
    <mergeCell ref="R9:R10"/>
    <mergeCell ref="S9:S10"/>
    <mergeCell ref="R8:S8"/>
    <mergeCell ref="P9:P10"/>
    <mergeCell ref="Q9:Q10"/>
    <mergeCell ref="L8:L10"/>
    <mergeCell ref="B84:I84"/>
    <mergeCell ref="B85:I85"/>
    <mergeCell ref="H8:I8"/>
    <mergeCell ref="H9:H10"/>
    <mergeCell ref="I9:I10"/>
    <mergeCell ref="F9:G9"/>
    <mergeCell ref="A11:B11"/>
    <mergeCell ref="A12:B12"/>
    <mergeCell ref="C7:I7"/>
    <mergeCell ref="C6:K6"/>
    <mergeCell ref="J7:K7"/>
    <mergeCell ref="J8:J10"/>
    <mergeCell ref="K8:K10"/>
    <mergeCell ref="C8:C10"/>
    <mergeCell ref="D8:D10"/>
    <mergeCell ref="E9:E10"/>
    <mergeCell ref="E8:G8"/>
  </mergeCells>
  <printOptions/>
  <pageMargins left="0.5" right="0.25" top="1" bottom="0.5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70"/>
  <sheetViews>
    <sheetView zoomScalePageLayoutView="0" workbookViewId="0" topLeftCell="A67">
      <selection activeCell="E49" sqref="D49:E49"/>
    </sheetView>
  </sheetViews>
  <sheetFormatPr defaultColWidth="9.140625" defaultRowHeight="12.75"/>
  <cols>
    <col min="1" max="1" width="4.421875" style="0" customWidth="1"/>
    <col min="2" max="2" width="21.00390625" style="72" customWidth="1"/>
    <col min="3" max="3" width="7.7109375" style="0" customWidth="1"/>
    <col min="4" max="4" width="9.00390625" style="0" customWidth="1"/>
    <col min="5" max="5" width="8.140625" style="0" customWidth="1"/>
    <col min="6" max="6" width="8.8515625" style="0" customWidth="1"/>
    <col min="7" max="7" width="9.7109375" style="0" customWidth="1"/>
    <col min="9" max="10" width="8.421875" style="0" customWidth="1"/>
    <col min="11" max="11" width="7.57421875" style="0" customWidth="1"/>
    <col min="12" max="12" width="9.28125" style="0" customWidth="1"/>
    <col min="13" max="13" width="7.7109375" style="0" customWidth="1"/>
    <col min="14" max="14" width="8.00390625" style="0" customWidth="1"/>
    <col min="15" max="15" width="8.421875" style="0" customWidth="1"/>
  </cols>
  <sheetData>
    <row r="1" spans="1:12" ht="16.5">
      <c r="A1" s="453" t="s">
        <v>7</v>
      </c>
      <c r="B1" s="453"/>
      <c r="J1">
        <f>2709+49</f>
        <v>2758</v>
      </c>
      <c r="L1">
        <f>3791+49</f>
        <v>3840</v>
      </c>
    </row>
    <row r="2" spans="1:15" ht="18.75">
      <c r="A2" s="454" t="s">
        <v>88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ht="18.75">
      <c r="A3" s="422" t="s">
        <v>152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</row>
    <row r="4" spans="1:15" ht="18.75">
      <c r="A4" s="455" t="s">
        <v>171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</row>
    <row r="5" spans="1:15" ht="18.7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s="36" customFormat="1" ht="12.75">
      <c r="A6" s="329"/>
      <c r="B6" s="330"/>
      <c r="C6" s="359" t="s">
        <v>85</v>
      </c>
      <c r="D6" s="359"/>
      <c r="E6" s="359"/>
      <c r="F6" s="359" t="s">
        <v>86</v>
      </c>
      <c r="G6" s="359"/>
      <c r="H6" s="359"/>
      <c r="I6" s="359"/>
      <c r="J6" s="359"/>
      <c r="K6" s="359"/>
      <c r="L6" s="359"/>
      <c r="M6" s="359"/>
      <c r="N6" s="359"/>
      <c r="O6" s="359"/>
    </row>
    <row r="7" spans="1:15" s="36" customFormat="1" ht="12.75" customHeight="1">
      <c r="A7" s="331"/>
      <c r="B7" s="332"/>
      <c r="C7" s="360" t="s">
        <v>9</v>
      </c>
      <c r="D7" s="354" t="s">
        <v>44</v>
      </c>
      <c r="E7" s="354"/>
      <c r="F7" s="354" t="s">
        <v>9</v>
      </c>
      <c r="G7" s="354" t="s">
        <v>44</v>
      </c>
      <c r="H7" s="354"/>
      <c r="I7" s="354"/>
      <c r="J7" s="354"/>
      <c r="K7" s="354"/>
      <c r="L7" s="354"/>
      <c r="M7" s="354"/>
      <c r="N7" s="354"/>
      <c r="O7" s="354"/>
    </row>
    <row r="8" spans="1:15" s="36" customFormat="1" ht="12.75">
      <c r="A8" s="331"/>
      <c r="B8" s="332"/>
      <c r="C8" s="361"/>
      <c r="D8" s="360" t="s">
        <v>28</v>
      </c>
      <c r="E8" s="360" t="s">
        <v>29</v>
      </c>
      <c r="F8" s="354"/>
      <c r="G8" s="354" t="s">
        <v>30</v>
      </c>
      <c r="H8" s="354"/>
      <c r="I8" s="354"/>
      <c r="J8" s="354"/>
      <c r="K8" s="354"/>
      <c r="L8" s="354" t="s">
        <v>31</v>
      </c>
      <c r="M8" s="354"/>
      <c r="N8" s="354"/>
      <c r="O8" s="354"/>
    </row>
    <row r="9" spans="1:15" s="36" customFormat="1" ht="12.75">
      <c r="A9" s="331"/>
      <c r="B9" s="332"/>
      <c r="C9" s="361"/>
      <c r="D9" s="361"/>
      <c r="E9" s="361"/>
      <c r="F9" s="354"/>
      <c r="G9" s="354" t="s">
        <v>9</v>
      </c>
      <c r="H9" s="354" t="s">
        <v>44</v>
      </c>
      <c r="I9" s="354"/>
      <c r="J9" s="354"/>
      <c r="K9" s="354"/>
      <c r="L9" s="354" t="s">
        <v>9</v>
      </c>
      <c r="M9" s="354" t="s">
        <v>44</v>
      </c>
      <c r="N9" s="354"/>
      <c r="O9" s="354"/>
    </row>
    <row r="10" spans="1:15" s="36" customFormat="1" ht="37.5" customHeight="1">
      <c r="A10" s="333"/>
      <c r="B10" s="334"/>
      <c r="C10" s="362"/>
      <c r="D10" s="362"/>
      <c r="E10" s="362"/>
      <c r="F10" s="354"/>
      <c r="G10" s="354"/>
      <c r="H10" s="104" t="s">
        <v>164</v>
      </c>
      <c r="I10" s="104" t="s">
        <v>165</v>
      </c>
      <c r="J10" s="104" t="s">
        <v>166</v>
      </c>
      <c r="K10" s="104" t="s">
        <v>123</v>
      </c>
      <c r="L10" s="354"/>
      <c r="M10" s="104" t="s">
        <v>164</v>
      </c>
      <c r="N10" s="104" t="s">
        <v>165</v>
      </c>
      <c r="O10" s="104" t="s">
        <v>166</v>
      </c>
    </row>
    <row r="11" spans="1:15" s="36" customFormat="1" ht="12.75">
      <c r="A11" s="335" t="s">
        <v>40</v>
      </c>
      <c r="B11" s="336"/>
      <c r="C11" s="74">
        <v>1</v>
      </c>
      <c r="D11" s="74">
        <v>2</v>
      </c>
      <c r="E11" s="74">
        <v>3</v>
      </c>
      <c r="F11" s="74">
        <v>4</v>
      </c>
      <c r="G11" s="74">
        <v>5</v>
      </c>
      <c r="H11" s="74">
        <v>6</v>
      </c>
      <c r="I11" s="74">
        <v>7</v>
      </c>
      <c r="J11" s="74">
        <v>8</v>
      </c>
      <c r="K11" s="74">
        <v>9</v>
      </c>
      <c r="L11" s="74">
        <v>10</v>
      </c>
      <c r="M11" s="74">
        <v>11</v>
      </c>
      <c r="N11" s="74">
        <v>12</v>
      </c>
      <c r="O11" s="74">
        <v>13</v>
      </c>
    </row>
    <row r="12" spans="1:15" ht="18.75" customHeight="1">
      <c r="A12" s="87" t="s">
        <v>97</v>
      </c>
      <c r="B12" s="85"/>
      <c r="C12" s="280">
        <f aca="true" t="shared" si="0" ref="C12:O12">C13+C19</f>
        <v>3263</v>
      </c>
      <c r="D12" s="280">
        <f t="shared" si="0"/>
        <v>2777</v>
      </c>
      <c r="E12" s="280">
        <f t="shared" si="0"/>
        <v>486</v>
      </c>
      <c r="F12" s="280">
        <f t="shared" si="0"/>
        <v>56509</v>
      </c>
      <c r="G12" s="280">
        <f t="shared" si="0"/>
        <v>42139</v>
      </c>
      <c r="H12" s="280">
        <f t="shared" si="0"/>
        <v>23457</v>
      </c>
      <c r="I12" s="280">
        <f t="shared" si="0"/>
        <v>1145</v>
      </c>
      <c r="J12" s="280">
        <f t="shared" si="0"/>
        <v>16491</v>
      </c>
      <c r="K12" s="280">
        <f t="shared" si="0"/>
        <v>1143</v>
      </c>
      <c r="L12" s="280">
        <f t="shared" si="0"/>
        <v>11344</v>
      </c>
      <c r="M12" s="280">
        <f t="shared" si="0"/>
        <v>3912</v>
      </c>
      <c r="N12" s="280">
        <f t="shared" si="0"/>
        <v>3240</v>
      </c>
      <c r="O12" s="280">
        <f t="shared" si="0"/>
        <v>3706</v>
      </c>
    </row>
    <row r="13" spans="1:15" ht="18.75" customHeight="1">
      <c r="A13" s="86" t="s">
        <v>302</v>
      </c>
      <c r="B13" s="86"/>
      <c r="C13" s="281">
        <f aca="true" t="shared" si="1" ref="C13:O13">SUM(C14:C18)</f>
        <v>31</v>
      </c>
      <c r="D13" s="281">
        <f t="shared" si="1"/>
        <v>31</v>
      </c>
      <c r="E13" s="281">
        <f t="shared" si="1"/>
        <v>0</v>
      </c>
      <c r="F13" s="281">
        <f t="shared" si="1"/>
        <v>1035</v>
      </c>
      <c r="G13" s="281">
        <f t="shared" si="1"/>
        <v>611</v>
      </c>
      <c r="H13" s="281">
        <f t="shared" si="1"/>
        <v>319</v>
      </c>
      <c r="I13" s="281">
        <f t="shared" si="1"/>
        <v>253</v>
      </c>
      <c r="J13" s="281">
        <f t="shared" si="1"/>
        <v>39</v>
      </c>
      <c r="K13" s="281">
        <f t="shared" si="1"/>
        <v>0</v>
      </c>
      <c r="L13" s="281">
        <f t="shared" si="1"/>
        <v>424</v>
      </c>
      <c r="M13" s="281">
        <f t="shared" si="1"/>
        <v>86</v>
      </c>
      <c r="N13" s="281">
        <f t="shared" si="1"/>
        <v>336</v>
      </c>
      <c r="O13" s="281">
        <f t="shared" si="1"/>
        <v>2</v>
      </c>
    </row>
    <row r="14" spans="1:15" ht="18.75" customHeight="1">
      <c r="A14" s="171">
        <v>1</v>
      </c>
      <c r="B14" s="276" t="s">
        <v>242</v>
      </c>
      <c r="C14" s="277">
        <f>D14+E14</f>
        <v>6</v>
      </c>
      <c r="D14" s="278">
        <v>6</v>
      </c>
      <c r="E14" s="278"/>
      <c r="F14" s="277">
        <f>G14+L14</f>
        <v>84</v>
      </c>
      <c r="G14" s="277">
        <f>H14+I14+J14+K14</f>
        <v>42</v>
      </c>
      <c r="H14" s="278">
        <v>42</v>
      </c>
      <c r="I14" s="278"/>
      <c r="J14" s="278"/>
      <c r="K14" s="278"/>
      <c r="L14" s="277">
        <f>M14+N14+O14</f>
        <v>42</v>
      </c>
      <c r="M14" s="278">
        <v>42</v>
      </c>
      <c r="N14" s="278"/>
      <c r="O14" s="278"/>
    </row>
    <row r="15" spans="1:15" ht="25.5">
      <c r="A15" s="171">
        <v>2</v>
      </c>
      <c r="B15" s="276" t="s">
        <v>303</v>
      </c>
      <c r="C15" s="277">
        <f>D15+E15</f>
        <v>20</v>
      </c>
      <c r="D15" s="278">
        <v>20</v>
      </c>
      <c r="E15" s="278"/>
      <c r="F15" s="277">
        <f>G15+L15</f>
        <v>321</v>
      </c>
      <c r="G15" s="277">
        <f>H15+I15+J15+K15</f>
        <v>277</v>
      </c>
      <c r="H15" s="278">
        <v>277</v>
      </c>
      <c r="I15" s="278">
        <v>0</v>
      </c>
      <c r="J15" s="278">
        <v>0</v>
      </c>
      <c r="K15" s="278"/>
      <c r="L15" s="277">
        <f>M15+N15+O15</f>
        <v>44</v>
      </c>
      <c r="M15" s="278">
        <v>44</v>
      </c>
      <c r="N15" s="278">
        <v>0</v>
      </c>
      <c r="O15" s="278">
        <v>0</v>
      </c>
    </row>
    <row r="16" spans="1:15" ht="25.5">
      <c r="A16" s="171">
        <v>3</v>
      </c>
      <c r="B16" s="276" t="s">
        <v>304</v>
      </c>
      <c r="C16" s="277"/>
      <c r="D16" s="278"/>
      <c r="E16" s="278"/>
      <c r="F16" s="277">
        <f>G16+L16</f>
        <v>589</v>
      </c>
      <c r="G16" s="277">
        <f>H16+I16+J16+K16</f>
        <v>253</v>
      </c>
      <c r="H16" s="279">
        <v>0</v>
      </c>
      <c r="I16" s="279">
        <v>253</v>
      </c>
      <c r="J16" s="278"/>
      <c r="K16" s="278"/>
      <c r="L16" s="277">
        <f>M16+N16+O16</f>
        <v>336</v>
      </c>
      <c r="M16" s="278"/>
      <c r="N16" s="278">
        <v>336</v>
      </c>
      <c r="O16" s="278"/>
    </row>
    <row r="17" spans="1:15" ht="25.5">
      <c r="A17" s="171">
        <v>4</v>
      </c>
      <c r="B17" s="276" t="s">
        <v>305</v>
      </c>
      <c r="C17" s="277">
        <f>D17+E17</f>
        <v>5</v>
      </c>
      <c r="D17" s="278">
        <v>5</v>
      </c>
      <c r="E17" s="278"/>
      <c r="F17" s="277">
        <f>G17+L17</f>
        <v>41</v>
      </c>
      <c r="G17" s="277">
        <f>H17+I17+J17+K17</f>
        <v>39</v>
      </c>
      <c r="H17" s="278"/>
      <c r="I17" s="278"/>
      <c r="J17" s="278">
        <v>39</v>
      </c>
      <c r="K17" s="278"/>
      <c r="L17" s="277">
        <f>M17+N17+O17</f>
        <v>2</v>
      </c>
      <c r="M17" s="278"/>
      <c r="N17" s="278"/>
      <c r="O17" s="278">
        <v>2</v>
      </c>
    </row>
    <row r="18" spans="1:15" ht="25.5">
      <c r="A18" s="171">
        <v>5</v>
      </c>
      <c r="B18" s="276" t="s">
        <v>306</v>
      </c>
      <c r="C18" s="277"/>
      <c r="D18" s="278"/>
      <c r="E18" s="278"/>
      <c r="F18" s="277"/>
      <c r="G18" s="277"/>
      <c r="H18" s="278"/>
      <c r="I18" s="278"/>
      <c r="J18" s="278"/>
      <c r="K18" s="278"/>
      <c r="L18" s="277"/>
      <c r="M18" s="278"/>
      <c r="N18" s="278"/>
      <c r="O18" s="278"/>
    </row>
    <row r="19" spans="1:15" ht="18.75" customHeight="1">
      <c r="A19" s="87" t="s">
        <v>98</v>
      </c>
      <c r="B19" s="85"/>
      <c r="C19" s="281">
        <f aca="true" t="shared" si="2" ref="C19:O19">SUM(C20:C82)</f>
        <v>3232</v>
      </c>
      <c r="D19" s="281">
        <f t="shared" si="2"/>
        <v>2746</v>
      </c>
      <c r="E19" s="281">
        <f t="shared" si="2"/>
        <v>486</v>
      </c>
      <c r="F19" s="281">
        <f t="shared" si="2"/>
        <v>55474</v>
      </c>
      <c r="G19" s="281">
        <f t="shared" si="2"/>
        <v>41528</v>
      </c>
      <c r="H19" s="281">
        <f t="shared" si="2"/>
        <v>23138</v>
      </c>
      <c r="I19" s="281">
        <f t="shared" si="2"/>
        <v>892</v>
      </c>
      <c r="J19" s="281">
        <f t="shared" si="2"/>
        <v>16452</v>
      </c>
      <c r="K19" s="281">
        <f t="shared" si="2"/>
        <v>1143</v>
      </c>
      <c r="L19" s="281">
        <f t="shared" si="2"/>
        <v>10920</v>
      </c>
      <c r="M19" s="281">
        <f t="shared" si="2"/>
        <v>3826</v>
      </c>
      <c r="N19" s="281">
        <f t="shared" si="2"/>
        <v>2904</v>
      </c>
      <c r="O19" s="281">
        <f t="shared" si="2"/>
        <v>3704</v>
      </c>
    </row>
    <row r="20" spans="1:15" ht="15">
      <c r="A20" s="154">
        <v>1</v>
      </c>
      <c r="B20" s="155" t="s">
        <v>175</v>
      </c>
      <c r="C20" s="277">
        <f>D20+E20</f>
        <v>42</v>
      </c>
      <c r="D20" s="278">
        <v>42</v>
      </c>
      <c r="E20" s="278">
        <v>0</v>
      </c>
      <c r="F20" s="277">
        <f>G20+L20</f>
        <v>1172</v>
      </c>
      <c r="G20" s="277">
        <f>H20+I20+J20+K20</f>
        <v>550</v>
      </c>
      <c r="H20" s="278">
        <v>393</v>
      </c>
      <c r="I20" s="278">
        <v>34</v>
      </c>
      <c r="J20" s="278">
        <v>123</v>
      </c>
      <c r="K20" s="278">
        <v>0</v>
      </c>
      <c r="L20" s="277">
        <f>M20+N20+O20</f>
        <v>622</v>
      </c>
      <c r="M20" s="278">
        <v>0</v>
      </c>
      <c r="N20" s="278">
        <v>0</v>
      </c>
      <c r="O20" s="278">
        <v>622</v>
      </c>
    </row>
    <row r="21" spans="1:15" ht="15">
      <c r="A21" s="154">
        <v>2</v>
      </c>
      <c r="B21" s="155" t="s">
        <v>263</v>
      </c>
      <c r="C21" s="277">
        <f aca="true" t="shared" si="3" ref="C21:C37">D21+E21</f>
        <v>47</v>
      </c>
      <c r="D21" s="278">
        <v>36</v>
      </c>
      <c r="E21" s="278">
        <v>11</v>
      </c>
      <c r="F21" s="277">
        <f aca="true" t="shared" si="4" ref="F21:F37">G21+L21</f>
        <v>1697</v>
      </c>
      <c r="G21" s="277">
        <f aca="true" t="shared" si="5" ref="G21:G37">H21+I21+J21+K21</f>
        <v>1542</v>
      </c>
      <c r="H21" s="278">
        <v>499</v>
      </c>
      <c r="I21" s="278">
        <v>5</v>
      </c>
      <c r="J21" s="278">
        <v>977</v>
      </c>
      <c r="K21" s="279">
        <v>61</v>
      </c>
      <c r="L21" s="277">
        <f aca="true" t="shared" si="6" ref="L21:L37">M21+N21+O21</f>
        <v>155</v>
      </c>
      <c r="M21" s="278">
        <v>0</v>
      </c>
      <c r="N21" s="278">
        <v>155</v>
      </c>
      <c r="O21" s="278">
        <v>0</v>
      </c>
    </row>
    <row r="22" spans="1:15" ht="15">
      <c r="A22" s="154">
        <v>3</v>
      </c>
      <c r="B22" s="155" t="s">
        <v>176</v>
      </c>
      <c r="C22" s="277">
        <f t="shared" si="3"/>
        <v>34</v>
      </c>
      <c r="D22" s="278">
        <v>34</v>
      </c>
      <c r="E22" s="279"/>
      <c r="F22" s="277">
        <f>G22</f>
        <v>838</v>
      </c>
      <c r="G22" s="277">
        <f>H22+I22+J22</f>
        <v>838</v>
      </c>
      <c r="H22" s="278">
        <v>435</v>
      </c>
      <c r="I22" s="278">
        <v>7</v>
      </c>
      <c r="J22" s="278">
        <v>396</v>
      </c>
      <c r="K22" s="282" t="s">
        <v>290</v>
      </c>
      <c r="L22" s="282" t="s">
        <v>290</v>
      </c>
      <c r="M22" s="282" t="s">
        <v>290</v>
      </c>
      <c r="N22" s="282" t="s">
        <v>290</v>
      </c>
      <c r="O22" s="282" t="s">
        <v>290</v>
      </c>
    </row>
    <row r="23" spans="1:15" ht="15">
      <c r="A23" s="154">
        <v>4</v>
      </c>
      <c r="B23" s="155" t="s">
        <v>177</v>
      </c>
      <c r="C23" s="277">
        <f t="shared" si="3"/>
        <v>37</v>
      </c>
      <c r="D23" s="278">
        <v>37</v>
      </c>
      <c r="E23" s="278">
        <v>0</v>
      </c>
      <c r="F23" s="277">
        <f t="shared" si="4"/>
        <v>159</v>
      </c>
      <c r="G23" s="277">
        <f t="shared" si="5"/>
        <v>159</v>
      </c>
      <c r="H23" s="278">
        <v>95</v>
      </c>
      <c r="I23" s="278">
        <v>0</v>
      </c>
      <c r="J23" s="278">
        <v>64</v>
      </c>
      <c r="K23" s="278">
        <v>0</v>
      </c>
      <c r="L23" s="277">
        <f t="shared" si="6"/>
        <v>0</v>
      </c>
      <c r="M23" s="278">
        <v>0</v>
      </c>
      <c r="N23" s="278">
        <v>0</v>
      </c>
      <c r="O23" s="278">
        <v>0</v>
      </c>
    </row>
    <row r="24" spans="1:15" ht="15">
      <c r="A24" s="154">
        <v>5</v>
      </c>
      <c r="B24" s="155" t="s">
        <v>178</v>
      </c>
      <c r="C24" s="277">
        <f t="shared" si="3"/>
        <v>44</v>
      </c>
      <c r="D24" s="278">
        <v>43</v>
      </c>
      <c r="E24" s="278">
        <v>1</v>
      </c>
      <c r="F24" s="277">
        <f t="shared" si="4"/>
        <v>317</v>
      </c>
      <c r="G24" s="277">
        <f t="shared" si="5"/>
        <v>315</v>
      </c>
      <c r="H24" s="278">
        <v>261</v>
      </c>
      <c r="I24" s="278">
        <v>0</v>
      </c>
      <c r="J24" s="278">
        <v>54</v>
      </c>
      <c r="K24" s="278">
        <v>0</v>
      </c>
      <c r="L24" s="277">
        <f t="shared" si="6"/>
        <v>2</v>
      </c>
      <c r="M24" s="278">
        <v>0</v>
      </c>
      <c r="N24" s="278">
        <v>0</v>
      </c>
      <c r="O24" s="278">
        <v>2</v>
      </c>
    </row>
    <row r="25" spans="1:15" ht="15">
      <c r="A25" s="154">
        <v>6</v>
      </c>
      <c r="B25" s="155" t="s">
        <v>179</v>
      </c>
      <c r="C25" s="277">
        <f t="shared" si="3"/>
        <v>19</v>
      </c>
      <c r="D25" s="278">
        <v>19</v>
      </c>
      <c r="E25" s="279"/>
      <c r="F25" s="277">
        <f t="shared" si="4"/>
        <v>1418</v>
      </c>
      <c r="G25" s="277">
        <f t="shared" si="5"/>
        <v>550</v>
      </c>
      <c r="H25" s="278">
        <v>173</v>
      </c>
      <c r="I25" s="278">
        <v>11</v>
      </c>
      <c r="J25" s="278">
        <v>366</v>
      </c>
      <c r="K25" s="278">
        <v>0</v>
      </c>
      <c r="L25" s="277">
        <f t="shared" si="6"/>
        <v>868</v>
      </c>
      <c r="M25" s="278">
        <v>0</v>
      </c>
      <c r="N25" s="278">
        <v>287</v>
      </c>
      <c r="O25" s="278">
        <v>581</v>
      </c>
    </row>
    <row r="26" spans="1:15" ht="15">
      <c r="A26" s="154">
        <v>7</v>
      </c>
      <c r="B26" s="155" t="s">
        <v>180</v>
      </c>
      <c r="C26" s="277">
        <f t="shared" si="3"/>
        <v>69</v>
      </c>
      <c r="D26" s="278">
        <v>58</v>
      </c>
      <c r="E26" s="278">
        <v>11</v>
      </c>
      <c r="F26" s="277">
        <f t="shared" si="4"/>
        <v>1204</v>
      </c>
      <c r="G26" s="277">
        <f t="shared" si="5"/>
        <v>1200</v>
      </c>
      <c r="H26" s="278">
        <v>470</v>
      </c>
      <c r="I26" s="278">
        <v>7</v>
      </c>
      <c r="J26" s="278">
        <v>716</v>
      </c>
      <c r="K26" s="278">
        <v>7</v>
      </c>
      <c r="L26" s="277">
        <f t="shared" si="6"/>
        <v>4</v>
      </c>
      <c r="M26" s="278">
        <v>1</v>
      </c>
      <c r="N26" s="278">
        <v>0</v>
      </c>
      <c r="O26" s="278">
        <v>3</v>
      </c>
    </row>
    <row r="27" spans="1:15" ht="15">
      <c r="A27" s="154">
        <v>8</v>
      </c>
      <c r="B27" s="155" t="s">
        <v>181</v>
      </c>
      <c r="C27" s="277">
        <f t="shared" si="3"/>
        <v>36</v>
      </c>
      <c r="D27" s="278">
        <v>36</v>
      </c>
      <c r="E27" s="278">
        <v>0</v>
      </c>
      <c r="F27" s="277">
        <f t="shared" si="4"/>
        <v>395</v>
      </c>
      <c r="G27" s="277">
        <f t="shared" si="5"/>
        <v>395</v>
      </c>
      <c r="H27" s="278">
        <v>286</v>
      </c>
      <c r="I27" s="278">
        <v>16</v>
      </c>
      <c r="J27" s="278">
        <v>93</v>
      </c>
      <c r="K27" s="278">
        <v>0</v>
      </c>
      <c r="L27" s="277">
        <f t="shared" si="6"/>
        <v>0</v>
      </c>
      <c r="M27" s="278">
        <v>0</v>
      </c>
      <c r="N27" s="278">
        <v>0</v>
      </c>
      <c r="O27" s="278">
        <v>0</v>
      </c>
    </row>
    <row r="28" spans="1:15" ht="15">
      <c r="A28" s="154">
        <v>9</v>
      </c>
      <c r="B28" s="155" t="s">
        <v>182</v>
      </c>
      <c r="C28" s="277">
        <f t="shared" si="3"/>
        <v>49</v>
      </c>
      <c r="D28" s="279">
        <v>49</v>
      </c>
      <c r="E28" s="279">
        <v>0</v>
      </c>
      <c r="F28" s="277">
        <f t="shared" si="4"/>
        <v>505</v>
      </c>
      <c r="G28" s="277">
        <f t="shared" si="5"/>
        <v>354</v>
      </c>
      <c r="H28" s="279">
        <f>199+155</f>
        <v>354</v>
      </c>
      <c r="I28" s="279">
        <v>0</v>
      </c>
      <c r="J28" s="279">
        <v>0</v>
      </c>
      <c r="K28" s="279">
        <v>0</v>
      </c>
      <c r="L28" s="277">
        <f t="shared" si="6"/>
        <v>151</v>
      </c>
      <c r="M28" s="279">
        <v>58</v>
      </c>
      <c r="N28" s="279">
        <v>0</v>
      </c>
      <c r="O28" s="279">
        <v>93</v>
      </c>
    </row>
    <row r="29" spans="1:15" ht="15">
      <c r="A29" s="154">
        <v>10</v>
      </c>
      <c r="B29" s="155" t="s">
        <v>183</v>
      </c>
      <c r="C29" s="277">
        <f t="shared" si="3"/>
        <v>40</v>
      </c>
      <c r="D29" s="278">
        <v>40</v>
      </c>
      <c r="E29" s="278">
        <v>0</v>
      </c>
      <c r="F29" s="277">
        <v>541</v>
      </c>
      <c r="G29" s="277">
        <v>541</v>
      </c>
      <c r="H29" s="279">
        <v>244</v>
      </c>
      <c r="I29" s="279">
        <v>0</v>
      </c>
      <c r="J29" s="279">
        <v>197</v>
      </c>
      <c r="K29" s="279">
        <v>197</v>
      </c>
      <c r="L29" s="277">
        <f t="shared" si="6"/>
        <v>0</v>
      </c>
      <c r="M29" s="278">
        <v>0</v>
      </c>
      <c r="N29" s="278">
        <v>0</v>
      </c>
      <c r="O29" s="278">
        <v>0</v>
      </c>
    </row>
    <row r="30" spans="1:15" ht="15">
      <c r="A30" s="154">
        <v>11</v>
      </c>
      <c r="B30" s="155" t="s">
        <v>184</v>
      </c>
      <c r="C30" s="277">
        <f t="shared" si="3"/>
        <v>45</v>
      </c>
      <c r="D30" s="278">
        <v>41</v>
      </c>
      <c r="E30" s="278">
        <v>4</v>
      </c>
      <c r="F30" s="277">
        <f>G30</f>
        <v>1142</v>
      </c>
      <c r="G30" s="277">
        <f>H30+K30</f>
        <v>1142</v>
      </c>
      <c r="H30" s="279">
        <v>1081</v>
      </c>
      <c r="I30" s="282" t="s">
        <v>290</v>
      </c>
      <c r="J30" s="282" t="s">
        <v>290</v>
      </c>
      <c r="K30" s="279">
        <v>61</v>
      </c>
      <c r="L30" s="282" t="s">
        <v>290</v>
      </c>
      <c r="M30" s="282" t="s">
        <v>290</v>
      </c>
      <c r="N30" s="282" t="s">
        <v>290</v>
      </c>
      <c r="O30" s="282" t="s">
        <v>290</v>
      </c>
    </row>
    <row r="31" spans="1:15" ht="15">
      <c r="A31" s="154">
        <v>12</v>
      </c>
      <c r="B31" s="155" t="s">
        <v>185</v>
      </c>
      <c r="C31" s="277">
        <f t="shared" si="3"/>
        <v>63</v>
      </c>
      <c r="D31" s="278">
        <v>62</v>
      </c>
      <c r="E31" s="278">
        <v>1</v>
      </c>
      <c r="F31" s="277">
        <f t="shared" si="4"/>
        <v>340</v>
      </c>
      <c r="G31" s="277">
        <f t="shared" si="5"/>
        <v>330</v>
      </c>
      <c r="H31" s="279">
        <v>235</v>
      </c>
      <c r="I31" s="279">
        <v>10</v>
      </c>
      <c r="J31" s="279">
        <v>85</v>
      </c>
      <c r="K31" s="279"/>
      <c r="L31" s="277">
        <f t="shared" si="6"/>
        <v>10</v>
      </c>
      <c r="M31" s="278">
        <v>10</v>
      </c>
      <c r="N31" s="279"/>
      <c r="O31" s="279"/>
    </row>
    <row r="32" spans="1:15" ht="15">
      <c r="A32" s="154">
        <v>13</v>
      </c>
      <c r="B32" s="155" t="s">
        <v>186</v>
      </c>
      <c r="C32" s="277">
        <f t="shared" si="3"/>
        <v>78</v>
      </c>
      <c r="D32" s="278">
        <v>18</v>
      </c>
      <c r="E32" s="278">
        <v>60</v>
      </c>
      <c r="F32" s="277">
        <f t="shared" si="4"/>
        <v>1531</v>
      </c>
      <c r="G32" s="277">
        <f t="shared" si="5"/>
        <v>297</v>
      </c>
      <c r="H32" s="279">
        <v>191</v>
      </c>
      <c r="I32" s="279">
        <v>7</v>
      </c>
      <c r="J32" s="279">
        <v>98</v>
      </c>
      <c r="K32" s="279">
        <v>1</v>
      </c>
      <c r="L32" s="277">
        <f t="shared" si="6"/>
        <v>1234</v>
      </c>
      <c r="M32" s="278">
        <v>0</v>
      </c>
      <c r="N32" s="278">
        <v>1234</v>
      </c>
      <c r="O32" s="278">
        <v>0</v>
      </c>
    </row>
    <row r="33" spans="1:15" ht="15">
      <c r="A33" s="154">
        <v>14</v>
      </c>
      <c r="B33" s="155" t="s">
        <v>187</v>
      </c>
      <c r="C33" s="277">
        <f t="shared" si="3"/>
        <v>13</v>
      </c>
      <c r="D33" s="278">
        <v>13</v>
      </c>
      <c r="E33" s="279">
        <v>0</v>
      </c>
      <c r="F33" s="277">
        <f>G33</f>
        <v>144</v>
      </c>
      <c r="G33" s="277">
        <f t="shared" si="5"/>
        <v>144</v>
      </c>
      <c r="H33" s="279">
        <v>19</v>
      </c>
      <c r="I33" s="279">
        <v>0</v>
      </c>
      <c r="J33" s="279">
        <v>70</v>
      </c>
      <c r="K33" s="279">
        <v>55</v>
      </c>
      <c r="L33" s="282" t="s">
        <v>290</v>
      </c>
      <c r="M33" s="282" t="s">
        <v>290</v>
      </c>
      <c r="N33" s="282" t="s">
        <v>290</v>
      </c>
      <c r="O33" s="282" t="s">
        <v>290</v>
      </c>
    </row>
    <row r="34" spans="1:15" ht="15">
      <c r="A34" s="154">
        <v>15</v>
      </c>
      <c r="B34" s="155" t="s">
        <v>188</v>
      </c>
      <c r="C34" s="277">
        <f t="shared" si="3"/>
        <v>44</v>
      </c>
      <c r="D34" s="278">
        <v>44</v>
      </c>
      <c r="E34" s="278">
        <v>0</v>
      </c>
      <c r="F34" s="277">
        <f t="shared" si="4"/>
        <v>571</v>
      </c>
      <c r="G34" s="277">
        <f t="shared" si="5"/>
        <v>571</v>
      </c>
      <c r="H34" s="279">
        <v>394</v>
      </c>
      <c r="I34" s="279">
        <v>50</v>
      </c>
      <c r="J34" s="279">
        <v>127</v>
      </c>
      <c r="K34" s="279">
        <v>0</v>
      </c>
      <c r="L34" s="277">
        <f t="shared" si="6"/>
        <v>0</v>
      </c>
      <c r="M34" s="278">
        <v>0</v>
      </c>
      <c r="N34" s="278">
        <v>0</v>
      </c>
      <c r="O34" s="278">
        <v>0</v>
      </c>
    </row>
    <row r="35" spans="1:15" ht="15">
      <c r="A35" s="154">
        <v>16</v>
      </c>
      <c r="B35" s="155" t="s">
        <v>189</v>
      </c>
      <c r="C35" s="277">
        <f t="shared" si="3"/>
        <v>76</v>
      </c>
      <c r="D35" s="278">
        <v>72</v>
      </c>
      <c r="E35" s="278">
        <v>4</v>
      </c>
      <c r="F35" s="277">
        <f t="shared" si="4"/>
        <v>1163</v>
      </c>
      <c r="G35" s="277">
        <f t="shared" si="5"/>
        <v>1072</v>
      </c>
      <c r="H35" s="278">
        <v>881</v>
      </c>
      <c r="I35" s="278">
        <v>14</v>
      </c>
      <c r="J35" s="278">
        <v>127</v>
      </c>
      <c r="K35" s="278">
        <v>50</v>
      </c>
      <c r="L35" s="277">
        <f t="shared" si="6"/>
        <v>91</v>
      </c>
      <c r="M35" s="278">
        <v>0</v>
      </c>
      <c r="N35" s="278">
        <v>0</v>
      </c>
      <c r="O35" s="278">
        <v>91</v>
      </c>
    </row>
    <row r="36" spans="1:15" ht="15">
      <c r="A36" s="154">
        <v>17</v>
      </c>
      <c r="B36" s="155" t="s">
        <v>190</v>
      </c>
      <c r="C36" s="277">
        <f t="shared" si="3"/>
        <v>44</v>
      </c>
      <c r="D36" s="279">
        <v>34</v>
      </c>
      <c r="E36" s="278">
        <v>10</v>
      </c>
      <c r="F36" s="277">
        <f t="shared" si="4"/>
        <v>292</v>
      </c>
      <c r="G36" s="277">
        <f t="shared" si="5"/>
        <v>292</v>
      </c>
      <c r="H36" s="278">
        <v>177</v>
      </c>
      <c r="I36" s="278">
        <v>0</v>
      </c>
      <c r="J36" s="278">
        <v>86</v>
      </c>
      <c r="K36" s="278">
        <v>29</v>
      </c>
      <c r="L36" s="277">
        <f t="shared" si="6"/>
        <v>0</v>
      </c>
      <c r="M36" s="278">
        <v>0</v>
      </c>
      <c r="N36" s="278">
        <v>0</v>
      </c>
      <c r="O36" s="278">
        <v>0</v>
      </c>
    </row>
    <row r="37" spans="1:15" ht="15">
      <c r="A37" s="154">
        <v>18</v>
      </c>
      <c r="B37" s="155" t="s">
        <v>191</v>
      </c>
      <c r="C37" s="277">
        <f t="shared" si="3"/>
        <v>45</v>
      </c>
      <c r="D37" s="278">
        <v>45</v>
      </c>
      <c r="E37" s="278">
        <v>0</v>
      </c>
      <c r="F37" s="277">
        <f t="shared" si="4"/>
        <v>644</v>
      </c>
      <c r="G37" s="277">
        <f t="shared" si="5"/>
        <v>624</v>
      </c>
      <c r="H37" s="279">
        <v>119</v>
      </c>
      <c r="I37" s="279">
        <v>0</v>
      </c>
      <c r="J37" s="279">
        <v>505</v>
      </c>
      <c r="K37" s="279">
        <v>0</v>
      </c>
      <c r="L37" s="277">
        <f t="shared" si="6"/>
        <v>20</v>
      </c>
      <c r="M37" s="278">
        <v>0</v>
      </c>
      <c r="N37" s="278">
        <v>0</v>
      </c>
      <c r="O37" s="278">
        <v>20</v>
      </c>
    </row>
    <row r="38" spans="1:15" ht="15">
      <c r="A38" s="154">
        <v>19</v>
      </c>
      <c r="B38" s="157" t="s">
        <v>211</v>
      </c>
      <c r="C38" s="277">
        <f>D38</f>
        <v>61</v>
      </c>
      <c r="D38" s="279">
        <v>61</v>
      </c>
      <c r="E38" s="303" t="s">
        <v>290</v>
      </c>
      <c r="F38" s="277">
        <f>G38+L38</f>
        <v>1747</v>
      </c>
      <c r="G38" s="277">
        <f>H38+J38</f>
        <v>1744</v>
      </c>
      <c r="H38" s="279">
        <f>438+885</f>
        <v>1323</v>
      </c>
      <c r="I38" s="282" t="s">
        <v>290</v>
      </c>
      <c r="J38" s="279">
        <v>421</v>
      </c>
      <c r="K38" s="282" t="s">
        <v>290</v>
      </c>
      <c r="L38" s="277">
        <f>O38</f>
        <v>3</v>
      </c>
      <c r="M38" s="282" t="s">
        <v>290</v>
      </c>
      <c r="N38" s="282" t="s">
        <v>290</v>
      </c>
      <c r="O38" s="279">
        <v>3</v>
      </c>
    </row>
    <row r="39" spans="1:15" ht="15">
      <c r="A39" s="154">
        <v>20</v>
      </c>
      <c r="B39" s="157" t="s">
        <v>212</v>
      </c>
      <c r="C39" s="277">
        <f>D39</f>
        <v>42</v>
      </c>
      <c r="D39" s="279">
        <v>42</v>
      </c>
      <c r="E39" s="303" t="s">
        <v>290</v>
      </c>
      <c r="F39" s="277">
        <f>G39</f>
        <v>332</v>
      </c>
      <c r="G39" s="277">
        <f>H39+I39</f>
        <v>332</v>
      </c>
      <c r="H39" s="278">
        <f>227+76</f>
        <v>303</v>
      </c>
      <c r="I39" s="278">
        <v>29</v>
      </c>
      <c r="J39" s="282" t="s">
        <v>290</v>
      </c>
      <c r="K39" s="282" t="s">
        <v>290</v>
      </c>
      <c r="L39" s="282" t="s">
        <v>290</v>
      </c>
      <c r="M39" s="282" t="s">
        <v>290</v>
      </c>
      <c r="N39" s="282" t="s">
        <v>290</v>
      </c>
      <c r="O39" s="282" t="s">
        <v>290</v>
      </c>
    </row>
    <row r="40" spans="1:15" ht="15">
      <c r="A40" s="154">
        <v>21</v>
      </c>
      <c r="B40" s="157" t="s">
        <v>213</v>
      </c>
      <c r="C40" s="277">
        <f aca="true" t="shared" si="7" ref="C40:C54">D40+E40</f>
        <v>121</v>
      </c>
      <c r="D40" s="279">
        <v>121</v>
      </c>
      <c r="E40" s="279">
        <v>0</v>
      </c>
      <c r="F40" s="277">
        <f aca="true" t="shared" si="8" ref="F40:F52">G40+L40</f>
        <v>444</v>
      </c>
      <c r="G40" s="277">
        <f aca="true" t="shared" si="9" ref="G40:G51">H40+I40+J40+K40</f>
        <v>387</v>
      </c>
      <c r="H40" s="278">
        <f>190+74</f>
        <v>264</v>
      </c>
      <c r="I40" s="278">
        <v>0</v>
      </c>
      <c r="J40" s="278">
        <v>113</v>
      </c>
      <c r="K40" s="278">
        <f>1+3+0+3+1+0+2</f>
        <v>10</v>
      </c>
      <c r="L40" s="277">
        <f aca="true" t="shared" si="10" ref="L40:L51">M40+N40+O40</f>
        <v>57</v>
      </c>
      <c r="M40" s="278">
        <v>19</v>
      </c>
      <c r="N40" s="278">
        <v>34</v>
      </c>
      <c r="O40" s="278">
        <v>4</v>
      </c>
    </row>
    <row r="41" spans="1:15" ht="15">
      <c r="A41" s="154">
        <v>22</v>
      </c>
      <c r="B41" s="157" t="s">
        <v>214</v>
      </c>
      <c r="C41" s="277">
        <f t="shared" si="7"/>
        <v>82</v>
      </c>
      <c r="D41" s="279">
        <v>0</v>
      </c>
      <c r="E41" s="279">
        <v>82</v>
      </c>
      <c r="F41" s="277">
        <f t="shared" si="8"/>
        <v>350</v>
      </c>
      <c r="G41" s="277">
        <f t="shared" si="9"/>
        <v>317</v>
      </c>
      <c r="H41" s="278">
        <f>92+75</f>
        <v>167</v>
      </c>
      <c r="I41" s="278">
        <v>5</v>
      </c>
      <c r="J41" s="278">
        <v>145</v>
      </c>
      <c r="K41" s="278">
        <v>0</v>
      </c>
      <c r="L41" s="277">
        <f t="shared" si="10"/>
        <v>33</v>
      </c>
      <c r="M41" s="278">
        <v>0</v>
      </c>
      <c r="N41" s="278">
        <v>0</v>
      </c>
      <c r="O41" s="278">
        <v>33</v>
      </c>
    </row>
    <row r="42" spans="1:15" ht="15">
      <c r="A42" s="154">
        <v>23</v>
      </c>
      <c r="B42" s="157" t="s">
        <v>215</v>
      </c>
      <c r="C42" s="277">
        <f t="shared" si="7"/>
        <v>38</v>
      </c>
      <c r="D42" s="279">
        <v>29</v>
      </c>
      <c r="E42" s="279">
        <v>9</v>
      </c>
      <c r="F42" s="277">
        <f t="shared" si="8"/>
        <v>479</v>
      </c>
      <c r="G42" s="277">
        <f t="shared" si="9"/>
        <v>460</v>
      </c>
      <c r="H42" s="278">
        <f>81+68</f>
        <v>149</v>
      </c>
      <c r="I42" s="278">
        <v>2</v>
      </c>
      <c r="J42" s="278">
        <v>309</v>
      </c>
      <c r="K42" s="278">
        <v>0</v>
      </c>
      <c r="L42" s="277">
        <f t="shared" si="10"/>
        <v>19</v>
      </c>
      <c r="M42" s="278">
        <v>0</v>
      </c>
      <c r="N42" s="278">
        <v>19</v>
      </c>
      <c r="O42" s="278">
        <v>0</v>
      </c>
    </row>
    <row r="43" spans="1:15" ht="15">
      <c r="A43" s="156">
        <v>24</v>
      </c>
      <c r="B43" s="158" t="s">
        <v>216</v>
      </c>
      <c r="C43" s="277">
        <f>E43</f>
        <v>35</v>
      </c>
      <c r="D43" s="303" t="s">
        <v>290</v>
      </c>
      <c r="E43" s="283">
        <v>35</v>
      </c>
      <c r="F43" s="277">
        <f>450+26+3031</f>
        <v>3507</v>
      </c>
      <c r="G43" s="304" t="s">
        <v>290</v>
      </c>
      <c r="H43" s="282" t="s">
        <v>290</v>
      </c>
      <c r="I43" s="282" t="s">
        <v>290</v>
      </c>
      <c r="J43" s="282" t="s">
        <v>290</v>
      </c>
      <c r="K43" s="282" t="s">
        <v>290</v>
      </c>
      <c r="L43" s="277">
        <f>475+11</f>
        <v>486</v>
      </c>
      <c r="M43" s="282" t="s">
        <v>290</v>
      </c>
      <c r="N43" s="282" t="s">
        <v>290</v>
      </c>
      <c r="O43" s="282" t="s">
        <v>290</v>
      </c>
    </row>
    <row r="44" spans="1:15" ht="15">
      <c r="A44" s="154">
        <v>25</v>
      </c>
      <c r="B44" s="157" t="s">
        <v>217</v>
      </c>
      <c r="C44" s="277">
        <f t="shared" si="7"/>
        <v>30</v>
      </c>
      <c r="D44" s="279">
        <v>30</v>
      </c>
      <c r="E44" s="279">
        <v>0</v>
      </c>
      <c r="F44" s="277">
        <f t="shared" si="8"/>
        <v>212</v>
      </c>
      <c r="G44" s="277">
        <f t="shared" si="9"/>
        <v>212</v>
      </c>
      <c r="H44" s="278">
        <f>72+13</f>
        <v>85</v>
      </c>
      <c r="I44" s="278">
        <v>40</v>
      </c>
      <c r="J44" s="278">
        <v>87</v>
      </c>
      <c r="K44" s="278">
        <f>0</f>
        <v>0</v>
      </c>
      <c r="L44" s="277">
        <f t="shared" si="10"/>
        <v>0</v>
      </c>
      <c r="M44" s="278">
        <v>0</v>
      </c>
      <c r="N44" s="278">
        <v>0</v>
      </c>
      <c r="O44" s="278">
        <v>0</v>
      </c>
    </row>
    <row r="45" spans="1:15" ht="15">
      <c r="A45" s="154">
        <v>26</v>
      </c>
      <c r="B45" s="157" t="s">
        <v>218</v>
      </c>
      <c r="C45" s="277">
        <f t="shared" si="7"/>
        <v>45</v>
      </c>
      <c r="D45" s="278">
        <v>40</v>
      </c>
      <c r="E45" s="278">
        <v>5</v>
      </c>
      <c r="F45" s="277">
        <f t="shared" si="8"/>
        <v>432</v>
      </c>
      <c r="G45" s="277">
        <f>H45+I45+J45</f>
        <v>426</v>
      </c>
      <c r="H45" s="278">
        <f>145+159</f>
        <v>304</v>
      </c>
      <c r="I45" s="278">
        <v>7</v>
      </c>
      <c r="J45" s="278">
        <v>115</v>
      </c>
      <c r="K45" s="282" t="s">
        <v>290</v>
      </c>
      <c r="L45" s="277">
        <f>O45</f>
        <v>6</v>
      </c>
      <c r="M45" s="282" t="s">
        <v>290</v>
      </c>
      <c r="N45" s="282" t="s">
        <v>290</v>
      </c>
      <c r="O45" s="279">
        <v>6</v>
      </c>
    </row>
    <row r="46" spans="1:15" ht="15">
      <c r="A46" s="154">
        <v>27</v>
      </c>
      <c r="B46" s="157" t="s">
        <v>219</v>
      </c>
      <c r="C46" s="277">
        <f t="shared" si="7"/>
        <v>73</v>
      </c>
      <c r="D46" s="278">
        <v>73</v>
      </c>
      <c r="E46" s="278">
        <v>0</v>
      </c>
      <c r="F46" s="277">
        <f t="shared" si="8"/>
        <v>3646</v>
      </c>
      <c r="G46" s="277">
        <f t="shared" si="9"/>
        <v>3640</v>
      </c>
      <c r="H46" s="278">
        <f>127+665</f>
        <v>792</v>
      </c>
      <c r="I46" s="278">
        <v>10</v>
      </c>
      <c r="J46" s="278">
        <v>2833</v>
      </c>
      <c r="K46" s="278">
        <f>5</f>
        <v>5</v>
      </c>
      <c r="L46" s="277">
        <f t="shared" si="10"/>
        <v>6</v>
      </c>
      <c r="M46" s="278">
        <v>2</v>
      </c>
      <c r="N46" s="278">
        <v>4</v>
      </c>
      <c r="O46" s="278"/>
    </row>
    <row r="47" spans="1:15" ht="15">
      <c r="A47" s="154">
        <v>28</v>
      </c>
      <c r="B47" s="157" t="s">
        <v>220</v>
      </c>
      <c r="C47" s="277">
        <f t="shared" si="7"/>
        <v>28</v>
      </c>
      <c r="D47" s="278">
        <v>28</v>
      </c>
      <c r="E47" s="278">
        <v>0</v>
      </c>
      <c r="F47" s="277">
        <f t="shared" si="8"/>
        <v>358</v>
      </c>
      <c r="G47" s="277">
        <f t="shared" si="9"/>
        <v>256</v>
      </c>
      <c r="H47" s="278">
        <f>95+51</f>
        <v>146</v>
      </c>
      <c r="I47" s="278">
        <v>0</v>
      </c>
      <c r="J47" s="278">
        <v>110</v>
      </c>
      <c r="K47" s="278">
        <f>0</f>
        <v>0</v>
      </c>
      <c r="L47" s="277">
        <f t="shared" si="10"/>
        <v>102</v>
      </c>
      <c r="M47" s="278">
        <v>1</v>
      </c>
      <c r="N47" s="278">
        <v>101</v>
      </c>
      <c r="O47" s="278">
        <v>0</v>
      </c>
    </row>
    <row r="48" spans="1:15" ht="15">
      <c r="A48" s="154">
        <v>29</v>
      </c>
      <c r="B48" s="157" t="s">
        <v>221</v>
      </c>
      <c r="C48" s="277">
        <f t="shared" si="7"/>
        <v>50</v>
      </c>
      <c r="D48" s="279">
        <v>13</v>
      </c>
      <c r="E48" s="279">
        <v>37</v>
      </c>
      <c r="F48" s="277">
        <f t="shared" si="8"/>
        <v>272</v>
      </c>
      <c r="G48" s="277">
        <f t="shared" si="9"/>
        <v>272</v>
      </c>
      <c r="H48" s="278">
        <f>97+47</f>
        <v>144</v>
      </c>
      <c r="I48" s="278">
        <v>0</v>
      </c>
      <c r="J48" s="278">
        <v>84</v>
      </c>
      <c r="K48" s="278">
        <f>44</f>
        <v>44</v>
      </c>
      <c r="L48" s="277">
        <f t="shared" si="10"/>
        <v>0</v>
      </c>
      <c r="M48" s="278">
        <v>0</v>
      </c>
      <c r="N48" s="278">
        <v>0</v>
      </c>
      <c r="O48" s="278">
        <v>0</v>
      </c>
    </row>
    <row r="49" spans="1:15" ht="15">
      <c r="A49" s="154">
        <v>30</v>
      </c>
      <c r="B49" s="157" t="s">
        <v>222</v>
      </c>
      <c r="C49" s="277">
        <f t="shared" si="7"/>
        <v>16</v>
      </c>
      <c r="D49" s="279">
        <v>16</v>
      </c>
      <c r="E49" s="279">
        <v>0</v>
      </c>
      <c r="F49" s="277">
        <f t="shared" si="8"/>
        <v>268</v>
      </c>
      <c r="G49" s="277">
        <f t="shared" si="9"/>
        <v>268</v>
      </c>
      <c r="H49" s="278">
        <f>0+259</f>
        <v>259</v>
      </c>
      <c r="I49" s="278">
        <v>9</v>
      </c>
      <c r="J49" s="278">
        <v>0</v>
      </c>
      <c r="K49" s="278">
        <f>0</f>
        <v>0</v>
      </c>
      <c r="L49" s="277">
        <f t="shared" si="10"/>
        <v>0</v>
      </c>
      <c r="M49" s="278">
        <v>0</v>
      </c>
      <c r="N49" s="278">
        <v>0</v>
      </c>
      <c r="O49" s="278">
        <v>0</v>
      </c>
    </row>
    <row r="50" spans="1:15" ht="15">
      <c r="A50" s="154">
        <v>31</v>
      </c>
      <c r="B50" s="157" t="s">
        <v>223</v>
      </c>
      <c r="C50" s="277">
        <f t="shared" si="7"/>
        <v>83</v>
      </c>
      <c r="D50" s="278">
        <v>81</v>
      </c>
      <c r="E50" s="278">
        <v>2</v>
      </c>
      <c r="F50" s="277">
        <f t="shared" si="8"/>
        <v>540</v>
      </c>
      <c r="G50" s="277">
        <f t="shared" si="9"/>
        <v>459</v>
      </c>
      <c r="H50" s="278">
        <f>200+153</f>
        <v>353</v>
      </c>
      <c r="I50" s="278">
        <v>1</v>
      </c>
      <c r="J50" s="278">
        <v>105</v>
      </c>
      <c r="K50" s="279">
        <v>0</v>
      </c>
      <c r="L50" s="277">
        <f t="shared" si="10"/>
        <v>81</v>
      </c>
      <c r="M50" s="278">
        <v>0</v>
      </c>
      <c r="N50" s="278">
        <v>38</v>
      </c>
      <c r="O50" s="278">
        <v>43</v>
      </c>
    </row>
    <row r="51" spans="1:15" ht="15">
      <c r="A51" s="154">
        <v>32</v>
      </c>
      <c r="B51" s="157" t="s">
        <v>224</v>
      </c>
      <c r="C51" s="277">
        <f t="shared" si="7"/>
        <v>55</v>
      </c>
      <c r="D51" s="278">
        <v>55</v>
      </c>
      <c r="E51" s="278">
        <v>0</v>
      </c>
      <c r="F51" s="277">
        <f t="shared" si="8"/>
        <v>807</v>
      </c>
      <c r="G51" s="277">
        <f t="shared" si="9"/>
        <v>772</v>
      </c>
      <c r="H51" s="278">
        <f>159+503</f>
        <v>662</v>
      </c>
      <c r="I51" s="278">
        <v>4</v>
      </c>
      <c r="J51" s="278">
        <v>94</v>
      </c>
      <c r="K51" s="278">
        <f>6+6+0+0+0+0+0</f>
        <v>12</v>
      </c>
      <c r="L51" s="277">
        <f t="shared" si="10"/>
        <v>35</v>
      </c>
      <c r="M51" s="278">
        <v>35</v>
      </c>
      <c r="N51" s="278">
        <v>0</v>
      </c>
      <c r="O51" s="278">
        <v>0</v>
      </c>
    </row>
    <row r="52" spans="1:15" ht="15">
      <c r="A52" s="154">
        <v>33</v>
      </c>
      <c r="B52" s="157" t="s">
        <v>225</v>
      </c>
      <c r="C52" s="277">
        <f t="shared" si="7"/>
        <v>68</v>
      </c>
      <c r="D52" s="278">
        <v>62</v>
      </c>
      <c r="E52" s="278">
        <v>6</v>
      </c>
      <c r="F52" s="277">
        <f t="shared" si="8"/>
        <v>216</v>
      </c>
      <c r="G52" s="277">
        <f>H52+J52</f>
        <v>158</v>
      </c>
      <c r="H52" s="278">
        <f>64+84</f>
        <v>148</v>
      </c>
      <c r="I52" s="282" t="s">
        <v>290</v>
      </c>
      <c r="J52" s="278">
        <v>10</v>
      </c>
      <c r="K52" s="282" t="s">
        <v>290</v>
      </c>
      <c r="L52" s="277">
        <f>O52</f>
        <v>58</v>
      </c>
      <c r="M52" s="282" t="s">
        <v>290</v>
      </c>
      <c r="N52" s="282" t="s">
        <v>290</v>
      </c>
      <c r="O52" s="278">
        <v>58</v>
      </c>
    </row>
    <row r="53" spans="1:15" ht="15">
      <c r="A53" s="154">
        <v>34</v>
      </c>
      <c r="B53" s="157" t="s">
        <v>226</v>
      </c>
      <c r="C53" s="277">
        <f t="shared" si="7"/>
        <v>22</v>
      </c>
      <c r="D53" s="278">
        <v>4</v>
      </c>
      <c r="E53" s="278">
        <v>18</v>
      </c>
      <c r="F53" s="277">
        <f>G53</f>
        <v>306</v>
      </c>
      <c r="G53" s="277">
        <f>H53+J53+K53</f>
        <v>306</v>
      </c>
      <c r="H53" s="278">
        <f>30+11</f>
        <v>41</v>
      </c>
      <c r="I53" s="282" t="s">
        <v>290</v>
      </c>
      <c r="J53" s="278">
        <v>241</v>
      </c>
      <c r="K53" s="278">
        <f>24</f>
        <v>24</v>
      </c>
      <c r="L53" s="277" t="s">
        <v>290</v>
      </c>
      <c r="M53" s="282" t="s">
        <v>290</v>
      </c>
      <c r="N53" s="282" t="s">
        <v>290</v>
      </c>
      <c r="O53" s="282" t="s">
        <v>290</v>
      </c>
    </row>
    <row r="54" spans="1:15" ht="15">
      <c r="A54" s="154">
        <v>35</v>
      </c>
      <c r="B54" s="157" t="s">
        <v>227</v>
      </c>
      <c r="C54" s="277">
        <f t="shared" si="7"/>
        <v>36</v>
      </c>
      <c r="D54" s="278">
        <v>36</v>
      </c>
      <c r="E54" s="278">
        <v>0</v>
      </c>
      <c r="F54" s="277">
        <f>G54</f>
        <v>686</v>
      </c>
      <c r="G54" s="277">
        <f>H54+J54+K54</f>
        <v>686</v>
      </c>
      <c r="H54" s="278">
        <f>97+148</f>
        <v>245</v>
      </c>
      <c r="I54" s="282" t="s">
        <v>290</v>
      </c>
      <c r="J54" s="278">
        <v>440</v>
      </c>
      <c r="K54" s="278">
        <f>1</f>
        <v>1</v>
      </c>
      <c r="L54" s="277" t="s">
        <v>290</v>
      </c>
      <c r="M54" s="282" t="s">
        <v>290</v>
      </c>
      <c r="N54" s="282" t="s">
        <v>290</v>
      </c>
      <c r="O54" s="282" t="s">
        <v>290</v>
      </c>
    </row>
    <row r="55" spans="1:15" ht="15">
      <c r="A55" s="154">
        <v>36</v>
      </c>
      <c r="B55" s="159" t="s">
        <v>229</v>
      </c>
      <c r="C55" s="277">
        <f>D55+E55</f>
        <v>37</v>
      </c>
      <c r="D55" s="278">
        <v>10</v>
      </c>
      <c r="E55" s="284">
        <v>27</v>
      </c>
      <c r="F55" s="277">
        <f>G55+L55</f>
        <v>497</v>
      </c>
      <c r="G55" s="277">
        <f>SUM(H55:K55)</f>
        <v>497</v>
      </c>
      <c r="H55" s="278">
        <f>(95+237)</f>
        <v>332</v>
      </c>
      <c r="I55" s="284">
        <v>0</v>
      </c>
      <c r="J55" s="284">
        <v>162</v>
      </c>
      <c r="K55" s="284">
        <v>3</v>
      </c>
      <c r="L55" s="144">
        <f>SUM(M55:O55)</f>
        <v>0</v>
      </c>
      <c r="M55" s="284">
        <v>0</v>
      </c>
      <c r="N55" s="284">
        <v>0</v>
      </c>
      <c r="O55" s="284">
        <v>0</v>
      </c>
    </row>
    <row r="56" spans="1:15" ht="15">
      <c r="A56" s="154">
        <v>37</v>
      </c>
      <c r="B56" s="159" t="s">
        <v>230</v>
      </c>
      <c r="C56" s="277">
        <f aca="true" t="shared" si="11" ref="C56:C63">D56+E56</f>
        <v>36</v>
      </c>
      <c r="D56" s="278">
        <v>36</v>
      </c>
      <c r="E56" s="284">
        <v>0</v>
      </c>
      <c r="F56" s="277">
        <f aca="true" t="shared" si="12" ref="F56:F63">G56+L56</f>
        <v>473</v>
      </c>
      <c r="G56" s="277">
        <f>SUM(H56:K56)</f>
        <v>471</v>
      </c>
      <c r="H56" s="278">
        <f>236+153</f>
        <v>389</v>
      </c>
      <c r="I56" s="284">
        <v>0</v>
      </c>
      <c r="J56" s="284">
        <v>82</v>
      </c>
      <c r="K56" s="284">
        <v>0</v>
      </c>
      <c r="L56" s="144">
        <f aca="true" t="shared" si="13" ref="L56:L63">SUM(M56:O56)</f>
        <v>2</v>
      </c>
      <c r="M56" s="284">
        <v>2</v>
      </c>
      <c r="N56" s="284" t="s">
        <v>290</v>
      </c>
      <c r="O56" s="284" t="s">
        <v>290</v>
      </c>
    </row>
    <row r="57" spans="1:15" ht="15">
      <c r="A57" s="154">
        <v>38</v>
      </c>
      <c r="B57" s="159" t="s">
        <v>231</v>
      </c>
      <c r="C57" s="277">
        <f t="shared" si="11"/>
        <v>64</v>
      </c>
      <c r="D57" s="278">
        <v>64</v>
      </c>
      <c r="E57" s="284">
        <v>0</v>
      </c>
      <c r="F57" s="277">
        <f t="shared" si="12"/>
        <v>1258</v>
      </c>
      <c r="G57" s="277">
        <f aca="true" t="shared" si="14" ref="G57:G63">SUM(H57:K57)</f>
        <v>1154</v>
      </c>
      <c r="H57" s="278">
        <f>(301+522)</f>
        <v>823</v>
      </c>
      <c r="I57" s="284">
        <v>13</v>
      </c>
      <c r="J57" s="284">
        <v>52</v>
      </c>
      <c r="K57" s="284">
        <f>(3+1+0+10+0+0+0+252)</f>
        <v>266</v>
      </c>
      <c r="L57" s="144">
        <f t="shared" si="13"/>
        <v>104</v>
      </c>
      <c r="M57" s="284">
        <v>64</v>
      </c>
      <c r="N57" s="284">
        <v>0</v>
      </c>
      <c r="O57" s="284">
        <v>40</v>
      </c>
    </row>
    <row r="58" spans="1:15" ht="15">
      <c r="A58" s="154">
        <v>39</v>
      </c>
      <c r="B58" s="159" t="s">
        <v>232</v>
      </c>
      <c r="C58" s="277">
        <f t="shared" si="11"/>
        <v>55</v>
      </c>
      <c r="D58" s="278">
        <v>55</v>
      </c>
      <c r="E58" s="284">
        <v>0</v>
      </c>
      <c r="F58" s="277">
        <f t="shared" si="12"/>
        <v>145</v>
      </c>
      <c r="G58" s="277">
        <f t="shared" si="14"/>
        <v>145</v>
      </c>
      <c r="H58" s="278">
        <f>(92+39)</f>
        <v>131</v>
      </c>
      <c r="I58" s="284">
        <v>14</v>
      </c>
      <c r="J58" s="284">
        <v>0</v>
      </c>
      <c r="K58" s="284">
        <v>0</v>
      </c>
      <c r="L58" s="144">
        <f>SUM(M58:O58)</f>
        <v>0</v>
      </c>
      <c r="M58" s="284">
        <v>0</v>
      </c>
      <c r="N58" s="284">
        <v>0</v>
      </c>
      <c r="O58" s="284">
        <v>0</v>
      </c>
    </row>
    <row r="59" spans="1:15" ht="15">
      <c r="A59" s="154">
        <v>40</v>
      </c>
      <c r="B59" s="159" t="s">
        <v>233</v>
      </c>
      <c r="C59" s="277">
        <f t="shared" si="11"/>
        <v>96</v>
      </c>
      <c r="D59" s="278">
        <v>96</v>
      </c>
      <c r="E59" s="284">
        <v>0</v>
      </c>
      <c r="F59" s="277">
        <f t="shared" si="12"/>
        <v>925</v>
      </c>
      <c r="G59" s="277">
        <f t="shared" si="14"/>
        <v>851</v>
      </c>
      <c r="H59" s="278">
        <f>(105+145)</f>
        <v>250</v>
      </c>
      <c r="I59" s="284">
        <v>10</v>
      </c>
      <c r="J59" s="284">
        <v>591</v>
      </c>
      <c r="K59" s="284">
        <v>0</v>
      </c>
      <c r="L59" s="144">
        <f t="shared" si="13"/>
        <v>74</v>
      </c>
      <c r="M59" s="284">
        <v>3</v>
      </c>
      <c r="N59" s="284">
        <v>64</v>
      </c>
      <c r="O59" s="284">
        <v>7</v>
      </c>
    </row>
    <row r="60" spans="1:15" ht="15">
      <c r="A60" s="154">
        <v>41</v>
      </c>
      <c r="B60" s="159" t="s">
        <v>234</v>
      </c>
      <c r="C60" s="277">
        <f t="shared" si="11"/>
        <v>16</v>
      </c>
      <c r="D60" s="278">
        <v>16</v>
      </c>
      <c r="E60" s="284">
        <v>0</v>
      </c>
      <c r="F60" s="277">
        <f t="shared" si="12"/>
        <v>297</v>
      </c>
      <c r="G60" s="277">
        <f>SUM(H60:K60)</f>
        <v>295</v>
      </c>
      <c r="H60" s="278">
        <f>(80+43)</f>
        <v>123</v>
      </c>
      <c r="I60" s="284">
        <v>4</v>
      </c>
      <c r="J60" s="284">
        <v>168</v>
      </c>
      <c r="K60" s="284">
        <v>0</v>
      </c>
      <c r="L60" s="144">
        <f>SUM(M60:O60)</f>
        <v>2</v>
      </c>
      <c r="M60" s="284">
        <v>0</v>
      </c>
      <c r="N60" s="284">
        <v>0</v>
      </c>
      <c r="O60" s="284">
        <v>2</v>
      </c>
    </row>
    <row r="61" spans="1:15" ht="15">
      <c r="A61" s="154">
        <v>42</v>
      </c>
      <c r="B61" s="159" t="s">
        <v>235</v>
      </c>
      <c r="C61" s="277">
        <f t="shared" si="11"/>
        <v>61</v>
      </c>
      <c r="D61" s="278">
        <v>24</v>
      </c>
      <c r="E61" s="284">
        <v>37</v>
      </c>
      <c r="F61" s="277">
        <f>G61</f>
        <v>324</v>
      </c>
      <c r="G61" s="277">
        <f t="shared" si="14"/>
        <v>324</v>
      </c>
      <c r="H61" s="278">
        <f>(85+145)</f>
        <v>230</v>
      </c>
      <c r="I61" s="284">
        <v>0</v>
      </c>
      <c r="J61" s="284">
        <v>94</v>
      </c>
      <c r="K61" s="305" t="s">
        <v>290</v>
      </c>
      <c r="L61" s="305" t="s">
        <v>290</v>
      </c>
      <c r="M61" s="305" t="s">
        <v>290</v>
      </c>
      <c r="N61" s="305" t="s">
        <v>290</v>
      </c>
      <c r="O61" s="284" t="s">
        <v>290</v>
      </c>
    </row>
    <row r="62" spans="1:15" ht="15">
      <c r="A62" s="154">
        <v>43</v>
      </c>
      <c r="B62" s="159" t="s">
        <v>236</v>
      </c>
      <c r="C62" s="277">
        <f t="shared" si="11"/>
        <v>39</v>
      </c>
      <c r="D62" s="278">
        <v>39</v>
      </c>
      <c r="E62" s="284">
        <v>0</v>
      </c>
      <c r="F62" s="277">
        <f t="shared" si="12"/>
        <v>991</v>
      </c>
      <c r="G62" s="277">
        <f>SUM(H62:K62)</f>
        <v>654</v>
      </c>
      <c r="H62" s="278">
        <f>(82+70)</f>
        <v>152</v>
      </c>
      <c r="I62" s="284">
        <v>3</v>
      </c>
      <c r="J62" s="284">
        <v>499</v>
      </c>
      <c r="K62" s="284">
        <v>0</v>
      </c>
      <c r="L62" s="144">
        <f t="shared" si="13"/>
        <v>337</v>
      </c>
      <c r="M62" s="284">
        <v>0</v>
      </c>
      <c r="N62" s="284">
        <v>33</v>
      </c>
      <c r="O62" s="284">
        <v>304</v>
      </c>
    </row>
    <row r="63" spans="1:15" ht="15">
      <c r="A63" s="154">
        <v>44</v>
      </c>
      <c r="B63" s="159" t="s">
        <v>237</v>
      </c>
      <c r="C63" s="277">
        <f t="shared" si="11"/>
        <v>42</v>
      </c>
      <c r="D63" s="278">
        <v>42</v>
      </c>
      <c r="E63" s="284">
        <v>0</v>
      </c>
      <c r="F63" s="277">
        <f t="shared" si="12"/>
        <v>341</v>
      </c>
      <c r="G63" s="277">
        <f t="shared" si="14"/>
        <v>335</v>
      </c>
      <c r="H63" s="278">
        <f>(117+218)</f>
        <v>335</v>
      </c>
      <c r="I63" s="305" t="s">
        <v>290</v>
      </c>
      <c r="J63" s="305" t="s">
        <v>290</v>
      </c>
      <c r="K63" s="305" t="s">
        <v>290</v>
      </c>
      <c r="L63" s="144">
        <f t="shared" si="13"/>
        <v>6</v>
      </c>
      <c r="M63" s="284">
        <v>6</v>
      </c>
      <c r="N63" s="284" t="s">
        <v>290</v>
      </c>
      <c r="O63" s="284" t="s">
        <v>290</v>
      </c>
    </row>
    <row r="64" spans="1:15" s="117" customFormat="1" ht="15.75">
      <c r="A64" s="154">
        <v>45</v>
      </c>
      <c r="B64" s="160" t="s">
        <v>243</v>
      </c>
      <c r="C64" s="277">
        <f>D64+E64</f>
        <v>62</v>
      </c>
      <c r="D64" s="278">
        <v>36</v>
      </c>
      <c r="E64" s="278">
        <v>26</v>
      </c>
      <c r="F64" s="277">
        <f>G64+L64</f>
        <v>548</v>
      </c>
      <c r="G64" s="277">
        <f>H64+I64+J64+K64</f>
        <v>279</v>
      </c>
      <c r="H64" s="278">
        <f>76+39</f>
        <v>115</v>
      </c>
      <c r="I64" s="278">
        <v>1</v>
      </c>
      <c r="J64" s="278">
        <v>163</v>
      </c>
      <c r="K64" s="278">
        <f>0</f>
        <v>0</v>
      </c>
      <c r="L64" s="277">
        <f>M64+N64+O64</f>
        <v>269</v>
      </c>
      <c r="M64" s="278">
        <v>3</v>
      </c>
      <c r="N64" s="278">
        <v>3</v>
      </c>
      <c r="O64" s="278">
        <v>263</v>
      </c>
    </row>
    <row r="65" spans="1:15" s="117" customFormat="1" ht="15.75">
      <c r="A65" s="154">
        <v>46</v>
      </c>
      <c r="B65" s="160" t="s">
        <v>244</v>
      </c>
      <c r="C65" s="277">
        <f aca="true" t="shared" si="15" ref="C65:C82">D65+E65</f>
        <v>18</v>
      </c>
      <c r="D65" s="278">
        <v>9</v>
      </c>
      <c r="E65" s="278">
        <v>9</v>
      </c>
      <c r="F65" s="277">
        <f aca="true" t="shared" si="16" ref="F65:F82">G65+L65</f>
        <v>484</v>
      </c>
      <c r="G65" s="277">
        <f aca="true" t="shared" si="17" ref="G65:G82">H65+I65+J65+K65</f>
        <v>484</v>
      </c>
      <c r="H65" s="278">
        <f>148+336</f>
        <v>484</v>
      </c>
      <c r="I65" s="278">
        <v>0</v>
      </c>
      <c r="J65" s="278">
        <v>0</v>
      </c>
      <c r="K65" s="278">
        <v>0</v>
      </c>
      <c r="L65" s="277">
        <f aca="true" t="shared" si="18" ref="L65:L82">M65+N65+O65</f>
        <v>0</v>
      </c>
      <c r="M65" s="278">
        <v>0</v>
      </c>
      <c r="N65" s="278">
        <v>0</v>
      </c>
      <c r="O65" s="278">
        <v>0</v>
      </c>
    </row>
    <row r="66" spans="1:15" s="117" customFormat="1" ht="15.75">
      <c r="A66" s="154">
        <v>47</v>
      </c>
      <c r="B66" s="160" t="s">
        <v>245</v>
      </c>
      <c r="C66" s="277">
        <f t="shared" si="15"/>
        <v>40</v>
      </c>
      <c r="D66" s="278">
        <v>13</v>
      </c>
      <c r="E66" s="278">
        <v>27</v>
      </c>
      <c r="F66" s="277">
        <f t="shared" si="16"/>
        <v>1006</v>
      </c>
      <c r="G66" s="277">
        <f t="shared" si="17"/>
        <v>1006</v>
      </c>
      <c r="H66" s="278">
        <f>80+159+244</f>
        <v>483</v>
      </c>
      <c r="I66" s="278">
        <v>16</v>
      </c>
      <c r="J66" s="278">
        <v>507</v>
      </c>
      <c r="K66" s="278">
        <v>0</v>
      </c>
      <c r="L66" s="277">
        <f t="shared" si="18"/>
        <v>0</v>
      </c>
      <c r="M66" s="278">
        <v>0</v>
      </c>
      <c r="N66" s="278">
        <v>0</v>
      </c>
      <c r="O66" s="278">
        <v>0</v>
      </c>
    </row>
    <row r="67" spans="1:15" s="117" customFormat="1" ht="15.75">
      <c r="A67" s="154">
        <v>48</v>
      </c>
      <c r="B67" s="160" t="s">
        <v>246</v>
      </c>
      <c r="C67" s="277">
        <v>18</v>
      </c>
      <c r="D67" s="278">
        <v>18</v>
      </c>
      <c r="E67" s="278">
        <v>0</v>
      </c>
      <c r="F67" s="277">
        <v>1092</v>
      </c>
      <c r="G67" s="277">
        <v>1087</v>
      </c>
      <c r="H67" s="278">
        <f>259+359</f>
        <v>618</v>
      </c>
      <c r="I67" s="278">
        <v>4</v>
      </c>
      <c r="J67" s="278">
        <v>465</v>
      </c>
      <c r="K67" s="278">
        <f>0+0+0+0+0+0+0</f>
        <v>0</v>
      </c>
      <c r="L67" s="277">
        <f t="shared" si="18"/>
        <v>0</v>
      </c>
      <c r="M67" s="278">
        <v>0</v>
      </c>
      <c r="N67" s="278">
        <v>0</v>
      </c>
      <c r="O67" s="278">
        <v>0</v>
      </c>
    </row>
    <row r="68" spans="1:15" s="117" customFormat="1" ht="15.75">
      <c r="A68" s="154">
        <v>49</v>
      </c>
      <c r="B68" s="160" t="s">
        <v>247</v>
      </c>
      <c r="C68" s="277">
        <f t="shared" si="15"/>
        <v>12</v>
      </c>
      <c r="D68" s="278">
        <v>8</v>
      </c>
      <c r="E68" s="278">
        <v>4</v>
      </c>
      <c r="F68" s="277">
        <f t="shared" si="16"/>
        <v>374</v>
      </c>
      <c r="G68" s="277">
        <f t="shared" si="17"/>
        <v>302</v>
      </c>
      <c r="H68" s="278">
        <f>97+73</f>
        <v>170</v>
      </c>
      <c r="I68" s="278">
        <v>0</v>
      </c>
      <c r="J68" s="278">
        <v>132</v>
      </c>
      <c r="K68" s="278">
        <v>0</v>
      </c>
      <c r="L68" s="277">
        <f t="shared" si="18"/>
        <v>72</v>
      </c>
      <c r="M68" s="278">
        <v>0</v>
      </c>
      <c r="N68" s="278">
        <v>0</v>
      </c>
      <c r="O68" s="278">
        <v>72</v>
      </c>
    </row>
    <row r="69" spans="1:15" s="117" customFormat="1" ht="15.75">
      <c r="A69" s="154">
        <v>50</v>
      </c>
      <c r="B69" s="160" t="s">
        <v>248</v>
      </c>
      <c r="C69" s="277">
        <f t="shared" si="15"/>
        <v>84</v>
      </c>
      <c r="D69" s="278">
        <v>84</v>
      </c>
      <c r="E69" s="278">
        <v>0</v>
      </c>
      <c r="F69" s="277">
        <f t="shared" si="16"/>
        <v>639</v>
      </c>
      <c r="G69" s="277">
        <f t="shared" si="17"/>
        <v>639</v>
      </c>
      <c r="H69" s="278">
        <f>140+499</f>
        <v>639</v>
      </c>
      <c r="I69" s="278">
        <v>0</v>
      </c>
      <c r="J69" s="278">
        <v>0</v>
      </c>
      <c r="K69" s="278">
        <v>0</v>
      </c>
      <c r="L69" s="277">
        <f t="shared" si="18"/>
        <v>0</v>
      </c>
      <c r="M69" s="278">
        <v>0</v>
      </c>
      <c r="N69" s="278">
        <v>0</v>
      </c>
      <c r="O69" s="278">
        <v>0</v>
      </c>
    </row>
    <row r="70" spans="1:15" s="117" customFormat="1" ht="15.75">
      <c r="A70" s="154">
        <v>51</v>
      </c>
      <c r="B70" s="161" t="s">
        <v>249</v>
      </c>
      <c r="C70" s="277">
        <f t="shared" si="15"/>
        <v>41</v>
      </c>
      <c r="D70" s="278">
        <v>25</v>
      </c>
      <c r="E70" s="278">
        <v>16</v>
      </c>
      <c r="F70" s="277">
        <f t="shared" si="16"/>
        <v>662</v>
      </c>
      <c r="G70" s="277">
        <f t="shared" si="17"/>
        <v>662</v>
      </c>
      <c r="H70" s="278">
        <f>0+210</f>
        <v>210</v>
      </c>
      <c r="I70" s="278">
        <v>0</v>
      </c>
      <c r="J70" s="278">
        <v>452</v>
      </c>
      <c r="K70" s="278">
        <v>0</v>
      </c>
      <c r="L70" s="277">
        <f t="shared" si="18"/>
        <v>0</v>
      </c>
      <c r="M70" s="278">
        <v>0</v>
      </c>
      <c r="N70" s="278">
        <v>0</v>
      </c>
      <c r="O70" s="278">
        <v>0</v>
      </c>
    </row>
    <row r="71" spans="1:15" s="117" customFormat="1" ht="15.75">
      <c r="A71" s="154">
        <v>52</v>
      </c>
      <c r="B71" s="161" t="s">
        <v>250</v>
      </c>
      <c r="C71" s="277">
        <f t="shared" si="15"/>
        <v>87</v>
      </c>
      <c r="D71" s="278">
        <v>87</v>
      </c>
      <c r="E71" s="278">
        <v>0</v>
      </c>
      <c r="F71" s="277">
        <f t="shared" si="16"/>
        <v>908</v>
      </c>
      <c r="G71" s="277">
        <f t="shared" si="17"/>
        <v>727</v>
      </c>
      <c r="H71" s="278">
        <f>218+377</f>
        <v>595</v>
      </c>
      <c r="I71" s="278">
        <v>0</v>
      </c>
      <c r="J71" s="278">
        <v>131</v>
      </c>
      <c r="K71" s="278">
        <f>0+1+0</f>
        <v>1</v>
      </c>
      <c r="L71" s="277">
        <f t="shared" si="18"/>
        <v>181</v>
      </c>
      <c r="M71" s="278">
        <v>0</v>
      </c>
      <c r="N71" s="278">
        <v>0</v>
      </c>
      <c r="O71" s="278">
        <v>181</v>
      </c>
    </row>
    <row r="72" spans="1:15" s="117" customFormat="1" ht="15.75">
      <c r="A72" s="154">
        <v>53</v>
      </c>
      <c r="B72" s="161" t="s">
        <v>251</v>
      </c>
      <c r="C72" s="277">
        <f t="shared" si="15"/>
        <v>28</v>
      </c>
      <c r="D72" s="278">
        <v>28</v>
      </c>
      <c r="E72" s="278">
        <v>0</v>
      </c>
      <c r="F72" s="277">
        <f t="shared" si="16"/>
        <v>203</v>
      </c>
      <c r="G72" s="277">
        <f t="shared" si="17"/>
        <v>203</v>
      </c>
      <c r="H72" s="278">
        <f>118+85</f>
        <v>203</v>
      </c>
      <c r="I72" s="278">
        <v>0</v>
      </c>
      <c r="J72" s="278">
        <v>0</v>
      </c>
      <c r="K72" s="278">
        <v>0</v>
      </c>
      <c r="L72" s="277">
        <f t="shared" si="18"/>
        <v>0</v>
      </c>
      <c r="M72" s="278">
        <v>0</v>
      </c>
      <c r="N72" s="278">
        <v>0</v>
      </c>
      <c r="O72" s="278">
        <v>0</v>
      </c>
    </row>
    <row r="73" spans="1:15" s="117" customFormat="1" ht="15.75">
      <c r="A73" s="154">
        <v>54</v>
      </c>
      <c r="B73" s="161" t="s">
        <v>252</v>
      </c>
      <c r="C73" s="277">
        <f t="shared" si="15"/>
        <v>47</v>
      </c>
      <c r="D73" s="278">
        <v>40</v>
      </c>
      <c r="E73" s="278">
        <v>7</v>
      </c>
      <c r="F73" s="277">
        <f t="shared" si="16"/>
        <v>396</v>
      </c>
      <c r="G73" s="277">
        <f t="shared" si="17"/>
        <v>378</v>
      </c>
      <c r="H73" s="278">
        <f>21+195</f>
        <v>216</v>
      </c>
      <c r="I73" s="278">
        <v>0</v>
      </c>
      <c r="J73" s="278">
        <v>162</v>
      </c>
      <c r="K73" s="278">
        <v>0</v>
      </c>
      <c r="L73" s="277">
        <f t="shared" si="18"/>
        <v>18</v>
      </c>
      <c r="M73" s="278">
        <v>4</v>
      </c>
      <c r="N73" s="278">
        <v>0</v>
      </c>
      <c r="O73" s="278">
        <v>14</v>
      </c>
    </row>
    <row r="74" spans="1:15" s="117" customFormat="1" ht="15.75">
      <c r="A74" s="154">
        <v>55</v>
      </c>
      <c r="B74" s="161" t="s">
        <v>253</v>
      </c>
      <c r="C74" s="277">
        <f t="shared" si="15"/>
        <v>27</v>
      </c>
      <c r="D74" s="278">
        <v>27</v>
      </c>
      <c r="E74" s="278">
        <v>0</v>
      </c>
      <c r="F74" s="277">
        <f t="shared" si="16"/>
        <v>1373</v>
      </c>
      <c r="G74" s="277">
        <f t="shared" si="17"/>
        <v>1288</v>
      </c>
      <c r="H74" s="278">
        <f>283+509</f>
        <v>792</v>
      </c>
      <c r="I74" s="278">
        <v>28</v>
      </c>
      <c r="J74" s="278">
        <v>468</v>
      </c>
      <c r="K74" s="278">
        <v>0</v>
      </c>
      <c r="L74" s="277">
        <f t="shared" si="18"/>
        <v>85</v>
      </c>
      <c r="M74" s="278">
        <v>0</v>
      </c>
      <c r="N74" s="278">
        <v>85</v>
      </c>
      <c r="O74" s="278">
        <v>0</v>
      </c>
    </row>
    <row r="75" spans="1:15" s="117" customFormat="1" ht="15.75">
      <c r="A75" s="154">
        <v>56</v>
      </c>
      <c r="B75" s="161" t="s">
        <v>254</v>
      </c>
      <c r="C75" s="277">
        <v>51</v>
      </c>
      <c r="D75" s="278">
        <v>50</v>
      </c>
      <c r="E75" s="278">
        <v>1</v>
      </c>
      <c r="F75" s="277">
        <v>530</v>
      </c>
      <c r="G75" s="277">
        <v>530</v>
      </c>
      <c r="H75" s="278">
        <f>157+232</f>
        <v>389</v>
      </c>
      <c r="I75" s="279">
        <v>8</v>
      </c>
      <c r="J75" s="278">
        <v>133</v>
      </c>
      <c r="K75" s="278">
        <f>0</f>
        <v>0</v>
      </c>
      <c r="L75" s="277">
        <v>0</v>
      </c>
      <c r="M75" s="278">
        <v>0</v>
      </c>
      <c r="N75" s="278">
        <v>0</v>
      </c>
      <c r="O75" s="278">
        <v>0</v>
      </c>
    </row>
    <row r="76" spans="1:15" s="117" customFormat="1" ht="15.75">
      <c r="A76" s="154">
        <v>57</v>
      </c>
      <c r="B76" s="161" t="s">
        <v>255</v>
      </c>
      <c r="C76" s="277">
        <f t="shared" si="15"/>
        <v>67</v>
      </c>
      <c r="D76" s="278">
        <f>36+4+14+13</f>
        <v>67</v>
      </c>
      <c r="E76" s="278">
        <v>0</v>
      </c>
      <c r="F76" s="277">
        <f t="shared" si="16"/>
        <v>1236</v>
      </c>
      <c r="G76" s="277">
        <f t="shared" si="17"/>
        <v>516</v>
      </c>
      <c r="H76" s="278">
        <f>150+109+158</f>
        <v>417</v>
      </c>
      <c r="I76" s="278">
        <v>48</v>
      </c>
      <c r="J76" s="278">
        <v>51</v>
      </c>
      <c r="K76" s="278">
        <v>0</v>
      </c>
      <c r="L76" s="277">
        <f t="shared" si="18"/>
        <v>720</v>
      </c>
      <c r="M76" s="278">
        <v>0</v>
      </c>
      <c r="N76" s="278">
        <v>1</v>
      </c>
      <c r="O76" s="278">
        <v>719</v>
      </c>
    </row>
    <row r="77" spans="1:15" s="117" customFormat="1" ht="15.75">
      <c r="A77" s="154">
        <v>58</v>
      </c>
      <c r="B77" s="161" t="s">
        <v>256</v>
      </c>
      <c r="C77" s="277">
        <f t="shared" si="15"/>
        <v>208</v>
      </c>
      <c r="D77" s="278">
        <v>208</v>
      </c>
      <c r="E77" s="278">
        <v>0</v>
      </c>
      <c r="F77" s="277">
        <f t="shared" si="16"/>
        <v>9491</v>
      </c>
      <c r="G77" s="277">
        <f t="shared" si="17"/>
        <v>5031</v>
      </c>
      <c r="H77" s="278">
        <f>1094+1196</f>
        <v>2290</v>
      </c>
      <c r="I77" s="278">
        <v>150</v>
      </c>
      <c r="J77" s="278">
        <v>2546</v>
      </c>
      <c r="K77" s="278">
        <f>24+21</f>
        <v>45</v>
      </c>
      <c r="L77" s="277">
        <f t="shared" si="18"/>
        <v>4460</v>
      </c>
      <c r="M77" s="278">
        <v>3618</v>
      </c>
      <c r="N77" s="278">
        <v>842</v>
      </c>
      <c r="O77" s="278">
        <v>0</v>
      </c>
    </row>
    <row r="78" spans="1:15" s="117" customFormat="1" ht="15.75">
      <c r="A78" s="154">
        <v>59</v>
      </c>
      <c r="B78" s="161" t="s">
        <v>257</v>
      </c>
      <c r="C78" s="277">
        <f t="shared" si="15"/>
        <v>52</v>
      </c>
      <c r="D78" s="278">
        <v>44</v>
      </c>
      <c r="E78" s="278">
        <v>8</v>
      </c>
      <c r="F78" s="277">
        <f t="shared" si="16"/>
        <v>627</v>
      </c>
      <c r="G78" s="277">
        <f t="shared" si="17"/>
        <v>627</v>
      </c>
      <c r="H78" s="278">
        <f>309+0</f>
        <v>309</v>
      </c>
      <c r="I78" s="278">
        <v>318</v>
      </c>
      <c r="J78" s="278">
        <v>0</v>
      </c>
      <c r="K78" s="278">
        <v>0</v>
      </c>
      <c r="L78" s="277">
        <f t="shared" si="18"/>
        <v>0</v>
      </c>
      <c r="M78" s="278">
        <v>0</v>
      </c>
      <c r="N78" s="278">
        <v>0</v>
      </c>
      <c r="O78" s="278">
        <v>0</v>
      </c>
    </row>
    <row r="79" spans="1:15" s="117" customFormat="1" ht="15.75">
      <c r="A79" s="154">
        <v>60</v>
      </c>
      <c r="B79" s="161" t="s">
        <v>258</v>
      </c>
      <c r="C79" s="277">
        <f t="shared" si="15"/>
        <v>30</v>
      </c>
      <c r="D79" s="278">
        <v>30</v>
      </c>
      <c r="E79" s="278">
        <v>0</v>
      </c>
      <c r="F79" s="277">
        <f>13+304</f>
        <v>317</v>
      </c>
      <c r="G79" s="277">
        <f>13+304</f>
        <v>317</v>
      </c>
      <c r="H79" s="278">
        <f>6+7+87+117</f>
        <v>217</v>
      </c>
      <c r="I79" s="278">
        <v>0</v>
      </c>
      <c r="J79" s="278">
        <v>100</v>
      </c>
      <c r="K79" s="278">
        <f>0</f>
        <v>0</v>
      </c>
      <c r="L79" s="277">
        <v>0</v>
      </c>
      <c r="M79" s="278">
        <v>0</v>
      </c>
      <c r="N79" s="278">
        <v>0</v>
      </c>
      <c r="O79" s="278">
        <v>0</v>
      </c>
    </row>
    <row r="80" spans="1:15" s="117" customFormat="1" ht="15.75">
      <c r="A80" s="154">
        <v>61</v>
      </c>
      <c r="B80" s="161" t="s">
        <v>259</v>
      </c>
      <c r="C80" s="277">
        <f t="shared" si="15"/>
        <v>49</v>
      </c>
      <c r="D80" s="278">
        <v>25</v>
      </c>
      <c r="E80" s="278">
        <v>24</v>
      </c>
      <c r="F80" s="277">
        <f t="shared" si="16"/>
        <v>143</v>
      </c>
      <c r="G80" s="277">
        <f t="shared" si="17"/>
        <v>128</v>
      </c>
      <c r="H80" s="278">
        <f>82+0</f>
        <v>82</v>
      </c>
      <c r="I80" s="278">
        <v>0</v>
      </c>
      <c r="J80" s="278">
        <v>46</v>
      </c>
      <c r="K80" s="278">
        <v>0</v>
      </c>
      <c r="L80" s="277">
        <f t="shared" si="18"/>
        <v>15</v>
      </c>
      <c r="M80" s="278">
        <v>0</v>
      </c>
      <c r="N80" s="278">
        <v>0</v>
      </c>
      <c r="O80" s="278">
        <v>15</v>
      </c>
    </row>
    <row r="81" spans="1:15" s="117" customFormat="1" ht="20.25" customHeight="1">
      <c r="A81" s="154">
        <v>62</v>
      </c>
      <c r="B81" s="161" t="s">
        <v>260</v>
      </c>
      <c r="C81" s="277">
        <f t="shared" si="15"/>
        <v>109</v>
      </c>
      <c r="D81" s="279">
        <v>105</v>
      </c>
      <c r="E81" s="279">
        <v>4</v>
      </c>
      <c r="F81" s="277">
        <f t="shared" si="16"/>
        <v>1228</v>
      </c>
      <c r="G81" s="277">
        <f t="shared" si="17"/>
        <v>697</v>
      </c>
      <c r="H81" s="278">
        <f>141+185</f>
        <v>326</v>
      </c>
      <c r="I81" s="278">
        <v>4</v>
      </c>
      <c r="J81" s="278">
        <v>96</v>
      </c>
      <c r="K81" s="278">
        <f>271</f>
        <v>271</v>
      </c>
      <c r="L81" s="277">
        <f t="shared" si="18"/>
        <v>531</v>
      </c>
      <c r="M81" s="278">
        <v>0</v>
      </c>
      <c r="N81" s="278">
        <v>4</v>
      </c>
      <c r="O81" s="278">
        <v>527</v>
      </c>
    </row>
    <row r="82" spans="1:15" s="117" customFormat="1" ht="15.75">
      <c r="A82" s="154">
        <v>63</v>
      </c>
      <c r="B82" s="161" t="s">
        <v>261</v>
      </c>
      <c r="C82" s="277">
        <f t="shared" si="15"/>
        <v>46</v>
      </c>
      <c r="D82" s="278">
        <v>46</v>
      </c>
      <c r="E82" s="278">
        <v>0</v>
      </c>
      <c r="F82" s="277">
        <f t="shared" si="16"/>
        <v>291</v>
      </c>
      <c r="G82" s="277">
        <f t="shared" si="17"/>
        <v>290</v>
      </c>
      <c r="H82" s="278">
        <f>66+60</f>
        <v>126</v>
      </c>
      <c r="I82" s="278">
        <v>3</v>
      </c>
      <c r="J82" s="278">
        <v>161</v>
      </c>
      <c r="K82" s="278">
        <f>0</f>
        <v>0</v>
      </c>
      <c r="L82" s="277">
        <f t="shared" si="18"/>
        <v>1</v>
      </c>
      <c r="M82" s="278">
        <v>0</v>
      </c>
      <c r="N82" s="278">
        <v>0</v>
      </c>
      <c r="O82" s="278">
        <v>1</v>
      </c>
    </row>
    <row r="83" ht="12.75">
      <c r="B83"/>
    </row>
    <row r="84" spans="1:17" s="210" customFormat="1" ht="12.75">
      <c r="A84" s="47"/>
      <c r="B84" s="47" t="s">
        <v>264</v>
      </c>
      <c r="C84" s="47" t="s">
        <v>286</v>
      </c>
      <c r="D84" s="47"/>
      <c r="E84" s="47"/>
      <c r="F84" s="47"/>
      <c r="G84" s="47"/>
      <c r="H84" s="47"/>
      <c r="I84" s="47"/>
      <c r="J84" s="47"/>
      <c r="K84" s="212"/>
      <c r="L84" s="47"/>
      <c r="M84" s="47"/>
      <c r="N84" s="47"/>
      <c r="O84" s="47"/>
      <c r="P84" s="213"/>
      <c r="Q84" s="213"/>
    </row>
    <row r="85" spans="1:17" s="211" customFormat="1" ht="12.75">
      <c r="A85" s="47"/>
      <c r="B85" s="210" t="s">
        <v>288</v>
      </c>
      <c r="C85" s="47" t="s">
        <v>294</v>
      </c>
      <c r="F85" s="47"/>
      <c r="G85" s="47"/>
      <c r="H85" s="47"/>
      <c r="I85" s="47"/>
      <c r="J85" s="47"/>
      <c r="K85" s="212"/>
      <c r="L85" s="47"/>
      <c r="M85" s="47"/>
      <c r="N85" s="47"/>
      <c r="O85" s="47"/>
      <c r="P85" s="214"/>
      <c r="Q85" s="214"/>
    </row>
    <row r="86" spans="1:15" s="211" customFormat="1" ht="12.75">
      <c r="A86" s="47"/>
      <c r="B86" s="47" t="s">
        <v>293</v>
      </c>
      <c r="C86" s="47" t="s">
        <v>296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</row>
    <row r="87" spans="1:17" s="211" customFormat="1" ht="16.5" customHeight="1">
      <c r="A87" s="47"/>
      <c r="B87" s="210" t="s">
        <v>289</v>
      </c>
      <c r="C87" s="47" t="s">
        <v>287</v>
      </c>
      <c r="F87" s="47"/>
      <c r="G87" s="47"/>
      <c r="H87" s="47"/>
      <c r="I87" s="47"/>
      <c r="J87" s="47"/>
      <c r="K87" s="212"/>
      <c r="L87" s="47"/>
      <c r="M87" s="47"/>
      <c r="N87" s="47"/>
      <c r="O87" s="47"/>
      <c r="P87" s="214"/>
      <c r="Q87" s="214"/>
    </row>
    <row r="88" ht="12.75">
      <c r="B88"/>
    </row>
    <row r="89" ht="12.75">
      <c r="B89" t="s">
        <v>267</v>
      </c>
    </row>
    <row r="90" spans="1:15" s="22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spans="1:15" s="22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spans="1:15" s="22" customFormat="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ht="12.75">
      <c r="B124"/>
    </row>
    <row r="125" spans="1:15" s="22" customFormat="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s="22" customFormat="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spans="1:15" s="71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30" customHeight="1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spans="1:15" ht="18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1:15" ht="18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1:15" ht="18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1:15" ht="1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1:15" ht="18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1:15" ht="18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1:15" ht="18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1:15" ht="18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1:15" ht="18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1:15" ht="18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1:15" ht="18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1:15" ht="18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1:15" ht="18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1:15" ht="1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1:15" ht="18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1:15" ht="18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1:15" ht="18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1:15" ht="18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</row>
    <row r="163" spans="1:15" ht="18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1:15" ht="18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</row>
    <row r="165" spans="1:15" ht="18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</row>
    <row r="166" spans="1:15" ht="18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</row>
    <row r="167" spans="1:15" ht="18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</row>
    <row r="168" spans="1:15" ht="1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</row>
    <row r="169" spans="1:15" ht="18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</row>
    <row r="170" spans="1:15" ht="18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</row>
  </sheetData>
  <sheetProtection/>
  <mergeCells count="20">
    <mergeCell ref="A6:B10"/>
    <mergeCell ref="A4:O4"/>
    <mergeCell ref="L9:L10"/>
    <mergeCell ref="M9:O9"/>
    <mergeCell ref="F7:F10"/>
    <mergeCell ref="E8:E10"/>
    <mergeCell ref="F6:O6"/>
    <mergeCell ref="G8:K8"/>
    <mergeCell ref="D8:D10"/>
    <mergeCell ref="C7:C10"/>
    <mergeCell ref="A1:B1"/>
    <mergeCell ref="A11:B11"/>
    <mergeCell ref="C6:E6"/>
    <mergeCell ref="D7:E7"/>
    <mergeCell ref="A2:O2"/>
    <mergeCell ref="H9:K9"/>
    <mergeCell ref="G9:G10"/>
    <mergeCell ref="A3:O3"/>
    <mergeCell ref="L8:O8"/>
    <mergeCell ref="G7:O7"/>
  </mergeCells>
  <printOptions/>
  <pageMargins left="0.75" right="0.5" top="1" bottom="0.5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Duc Cong</dc:creator>
  <cp:keywords/>
  <dc:description/>
  <cp:lastModifiedBy>User</cp:lastModifiedBy>
  <cp:lastPrinted>2012-07-09T06:13:34Z</cp:lastPrinted>
  <dcterms:created xsi:type="dcterms:W3CDTF">2010-06-28T09:14:51Z</dcterms:created>
  <dcterms:modified xsi:type="dcterms:W3CDTF">2016-07-28T08:52:14Z</dcterms:modified>
  <cp:category/>
  <cp:version/>
  <cp:contentType/>
  <cp:contentStatus/>
</cp:coreProperties>
</file>